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Z:\Knjižnica\Financijski planovi\2025\"/>
    </mc:Choice>
  </mc:AlternateContent>
  <xr:revisionPtr revIDLastSave="0" documentId="13_ncr:1_{E0E14CD9-649F-47D9-A0B7-CE8B17EEE7C9}" xr6:coauthVersionLast="47" xr6:coauthVersionMax="47" xr10:uidLastSave="{00000000-0000-0000-0000-000000000000}"/>
  <bookViews>
    <workbookView xWindow="-120" yWindow="-120" windowWidth="29040" windowHeight="15840" activeTab="4" xr2:uid="{00000000-000D-0000-FFFF-FFFF00000000}"/>
  </bookViews>
  <sheets>
    <sheet name="SAŽETAK" sheetId="1" r:id="rId1"/>
    <sheet name=" Račun prihoda i rashoda" sheetId="3" r:id="rId2"/>
    <sheet name="Rashodi prema funkcijskoj kl" sheetId="5" r:id="rId3"/>
    <sheet name="Račun financiranja" sheetId="6" r:id="rId4"/>
    <sheet name="POSEBNI DIO" sheetId="7" r:id="rId5"/>
  </sheets>
  <calcPr calcId="191029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25" i="7" l="1"/>
  <c r="P92" i="7"/>
  <c r="P91" i="7" s="1"/>
  <c r="O45" i="3" s="1"/>
  <c r="P89" i="7"/>
  <c r="P88" i="7" s="1"/>
  <c r="P84" i="7"/>
  <c r="P83" i="7"/>
  <c r="O44" i="3" s="1"/>
  <c r="P81" i="7"/>
  <c r="P80" i="7" s="1"/>
  <c r="P75" i="7"/>
  <c r="O76" i="7"/>
  <c r="P70" i="7"/>
  <c r="P68" i="7"/>
  <c r="P67" i="7" s="1"/>
  <c r="O29" i="3" s="1"/>
  <c r="P73" i="7"/>
  <c r="P72" i="7" s="1"/>
  <c r="O33" i="3" s="1"/>
  <c r="P63" i="7"/>
  <c r="P62" i="7" s="1"/>
  <c r="O36" i="3" s="1"/>
  <c r="P60" i="7"/>
  <c r="P59" i="7" s="1"/>
  <c r="O61" i="7"/>
  <c r="O56" i="7"/>
  <c r="O55" i="7"/>
  <c r="P46" i="7"/>
  <c r="P36" i="7"/>
  <c r="P30" i="7"/>
  <c r="P24" i="7" s="1"/>
  <c r="O31" i="3" s="1"/>
  <c r="P54" i="7"/>
  <c r="P53" i="7"/>
  <c r="O35" i="3" s="1"/>
  <c r="P22" i="7"/>
  <c r="P19" i="7"/>
  <c r="P17" i="7"/>
  <c r="P16" i="7" s="1"/>
  <c r="N89" i="7"/>
  <c r="N88" i="7" s="1"/>
  <c r="M42" i="3" s="1"/>
  <c r="N81" i="7"/>
  <c r="N80" i="7" s="1"/>
  <c r="M41" i="3" s="1"/>
  <c r="N75" i="7"/>
  <c r="N70" i="7"/>
  <c r="N73" i="7"/>
  <c r="N72" i="7" s="1"/>
  <c r="M33" i="3" s="1"/>
  <c r="N68" i="7"/>
  <c r="N67" i="7" s="1"/>
  <c r="N63" i="7"/>
  <c r="N62" i="7" s="1"/>
  <c r="M36" i="3" s="1"/>
  <c r="N60" i="7"/>
  <c r="N59" i="7" s="1"/>
  <c r="N54" i="7"/>
  <c r="N53" i="7" s="1"/>
  <c r="M35" i="3" s="1"/>
  <c r="M34" i="3" s="1"/>
  <c r="N46" i="7"/>
  <c r="N36" i="7"/>
  <c r="N30" i="7"/>
  <c r="N25" i="7"/>
  <c r="N24" i="7"/>
  <c r="M31" i="3" s="1"/>
  <c r="N17" i="7"/>
  <c r="N22" i="7"/>
  <c r="N19" i="7"/>
  <c r="N16" i="7" s="1"/>
  <c r="M28" i="3" s="1"/>
  <c r="O93" i="7"/>
  <c r="K93" i="7"/>
  <c r="R92" i="7"/>
  <c r="Q92" i="7"/>
  <c r="N92" i="7"/>
  <c r="O92" i="7" s="1"/>
  <c r="M92" i="7"/>
  <c r="L92" i="7"/>
  <c r="K92" i="7"/>
  <c r="J92" i="7"/>
  <c r="R91" i="7"/>
  <c r="Q91" i="7"/>
  <c r="N91" i="7"/>
  <c r="M91" i="7"/>
  <c r="L91" i="7"/>
  <c r="K91" i="7"/>
  <c r="J91" i="7"/>
  <c r="O90" i="7"/>
  <c r="L90" i="7"/>
  <c r="J90" i="7"/>
  <c r="K90" i="7" s="1"/>
  <c r="H90" i="7"/>
  <c r="F90" i="7"/>
  <c r="R89" i="7"/>
  <c r="Q89" i="7"/>
  <c r="O89" i="7"/>
  <c r="M89" i="7"/>
  <c r="L89" i="7"/>
  <c r="K89" i="7"/>
  <c r="J89" i="7"/>
  <c r="I89" i="7"/>
  <c r="H89" i="7"/>
  <c r="G89" i="7"/>
  <c r="F89" i="7"/>
  <c r="E89" i="7"/>
  <c r="R88" i="7"/>
  <c r="Q88" i="7"/>
  <c r="O88" i="7"/>
  <c r="M88" i="7"/>
  <c r="L88" i="7"/>
  <c r="K88" i="7"/>
  <c r="J88" i="7"/>
  <c r="I88" i="7"/>
  <c r="H88" i="7"/>
  <c r="G88" i="7"/>
  <c r="F88" i="7"/>
  <c r="E88" i="7"/>
  <c r="R87" i="7"/>
  <c r="Q87" i="7"/>
  <c r="M87" i="7"/>
  <c r="L87" i="7"/>
  <c r="K87" i="7"/>
  <c r="J87" i="7"/>
  <c r="I87" i="7"/>
  <c r="H87" i="7"/>
  <c r="G87" i="7"/>
  <c r="F87" i="7"/>
  <c r="E87" i="7"/>
  <c r="J86" i="7"/>
  <c r="K86" i="7" s="1"/>
  <c r="F86" i="7"/>
  <c r="O75" i="7"/>
  <c r="O74" i="7"/>
  <c r="L74" i="7"/>
  <c r="J74" i="7"/>
  <c r="K74" i="7" s="1"/>
  <c r="H74" i="7"/>
  <c r="F74" i="7"/>
  <c r="K73" i="7"/>
  <c r="J73" i="7"/>
  <c r="H73" i="7"/>
  <c r="F73" i="7"/>
  <c r="O71" i="7"/>
  <c r="L71" i="7"/>
  <c r="R70" i="7"/>
  <c r="Q70" i="7"/>
  <c r="O70" i="7"/>
  <c r="M70" i="7"/>
  <c r="L70" i="7"/>
  <c r="O69" i="7"/>
  <c r="L69" i="7"/>
  <c r="J69" i="7"/>
  <c r="K69" i="7" s="1"/>
  <c r="H69" i="7"/>
  <c r="F69" i="7"/>
  <c r="R68" i="7"/>
  <c r="Q68" i="7"/>
  <c r="O68" i="7"/>
  <c r="M68" i="7"/>
  <c r="L68" i="7"/>
  <c r="K68" i="7"/>
  <c r="J68" i="7"/>
  <c r="I68" i="7"/>
  <c r="H68" i="7"/>
  <c r="G68" i="7"/>
  <c r="F68" i="7"/>
  <c r="E68" i="7"/>
  <c r="L65" i="7"/>
  <c r="K65" i="7"/>
  <c r="H65" i="7"/>
  <c r="F65" i="7"/>
  <c r="O64" i="7"/>
  <c r="M64" i="7"/>
  <c r="L64" i="7"/>
  <c r="J64" i="7"/>
  <c r="K64" i="7" s="1"/>
  <c r="H64" i="7"/>
  <c r="F64" i="7"/>
  <c r="R63" i="7"/>
  <c r="Q63" i="7"/>
  <c r="O63" i="7"/>
  <c r="M63" i="7"/>
  <c r="L63" i="7"/>
  <c r="K63" i="7"/>
  <c r="J63" i="7"/>
  <c r="I63" i="7"/>
  <c r="H63" i="7"/>
  <c r="G63" i="7"/>
  <c r="F63" i="7"/>
  <c r="E63" i="7"/>
  <c r="L78" i="7"/>
  <c r="E81" i="7"/>
  <c r="G81" i="7"/>
  <c r="I81" i="7"/>
  <c r="M81" i="7"/>
  <c r="O81" i="7"/>
  <c r="Q81" i="7"/>
  <c r="R81" i="7"/>
  <c r="F82" i="7"/>
  <c r="F81" i="7" s="1"/>
  <c r="H82" i="7"/>
  <c r="H81" i="7" s="1"/>
  <c r="J82" i="7"/>
  <c r="J81" i="7" s="1"/>
  <c r="K82" i="7"/>
  <c r="K81" i="7" s="1"/>
  <c r="L82" i="7"/>
  <c r="L81" i="7" s="1"/>
  <c r="O82" i="7"/>
  <c r="J84" i="7"/>
  <c r="J83" i="7" s="1"/>
  <c r="L84" i="7"/>
  <c r="L83" i="7" s="1"/>
  <c r="M84" i="7"/>
  <c r="M83" i="7" s="1"/>
  <c r="N84" i="7"/>
  <c r="N83" i="7" s="1"/>
  <c r="M44" i="3" s="1"/>
  <c r="Q84" i="7"/>
  <c r="Q83" i="7" s="1"/>
  <c r="R84" i="7"/>
  <c r="R83" i="7" s="1"/>
  <c r="K85" i="7"/>
  <c r="K84" i="7" s="1"/>
  <c r="K83" i="7" s="1"/>
  <c r="O85" i="7"/>
  <c r="R62" i="7"/>
  <c r="Q62" i="7"/>
  <c r="O62" i="7"/>
  <c r="M62" i="7"/>
  <c r="L62" i="7"/>
  <c r="J62" i="7"/>
  <c r="I62" i="7"/>
  <c r="H62" i="7"/>
  <c r="G62" i="7"/>
  <c r="F62" i="7"/>
  <c r="E62" i="7"/>
  <c r="R57" i="7"/>
  <c r="Q57" i="7"/>
  <c r="L57" i="7"/>
  <c r="I57" i="7"/>
  <c r="G57" i="7"/>
  <c r="E57" i="7"/>
  <c r="F57" i="7" s="1"/>
  <c r="O18" i="7"/>
  <c r="N101" i="7"/>
  <c r="N99" i="7"/>
  <c r="N98" i="7"/>
  <c r="N97" i="7"/>
  <c r="N95" i="7"/>
  <c r="N94" i="7"/>
  <c r="P87" i="7" l="1"/>
  <c r="O42" i="3"/>
  <c r="P79" i="7"/>
  <c r="P78" i="7" s="1"/>
  <c r="O17" i="3" s="1"/>
  <c r="O41" i="3"/>
  <c r="N41" i="3" s="1"/>
  <c r="N33" i="3"/>
  <c r="N66" i="7"/>
  <c r="N65" i="7" s="1"/>
  <c r="M29" i="3"/>
  <c r="M27" i="3" s="1"/>
  <c r="N29" i="3"/>
  <c r="N58" i="7"/>
  <c r="N57" i="7" s="1"/>
  <c r="N11" i="7" s="1"/>
  <c r="M14" i="3" s="1"/>
  <c r="M32" i="3"/>
  <c r="M30" i="3" s="1"/>
  <c r="P58" i="7"/>
  <c r="P57" i="7" s="1"/>
  <c r="O32" i="3"/>
  <c r="O34" i="3"/>
  <c r="N35" i="3"/>
  <c r="O30" i="3"/>
  <c r="N31" i="3"/>
  <c r="P15" i="7"/>
  <c r="O28" i="3"/>
  <c r="O27" i="3" s="1"/>
  <c r="O91" i="7"/>
  <c r="M45" i="3"/>
  <c r="P86" i="7"/>
  <c r="P77" i="7" s="1"/>
  <c r="P14" i="7"/>
  <c r="N15" i="7"/>
  <c r="N79" i="7"/>
  <c r="N78" i="7" s="1"/>
  <c r="N87" i="7"/>
  <c r="N109" i="7" s="1"/>
  <c r="P10" i="7"/>
  <c r="P66" i="7"/>
  <c r="O83" i="7"/>
  <c r="O84" i="7"/>
  <c r="K80" i="7"/>
  <c r="K79" i="7" s="1"/>
  <c r="J80" i="7"/>
  <c r="J79" i="7" s="1"/>
  <c r="H80" i="7"/>
  <c r="H79" i="7" s="1"/>
  <c r="F80" i="7"/>
  <c r="F79" i="7" s="1"/>
  <c r="R80" i="7"/>
  <c r="R79" i="7" s="1"/>
  <c r="Q80" i="7"/>
  <c r="Q79" i="7" s="1"/>
  <c r="M80" i="7"/>
  <c r="M79" i="7" s="1"/>
  <c r="L80" i="7"/>
  <c r="L79" i="7" s="1"/>
  <c r="I80" i="7"/>
  <c r="I79" i="7" s="1"/>
  <c r="G80" i="7"/>
  <c r="G79" i="7" s="1"/>
  <c r="E80" i="7"/>
  <c r="E79" i="7" s="1"/>
  <c r="K62" i="7"/>
  <c r="J47" i="3"/>
  <c r="P65" i="7" l="1"/>
  <c r="P109" i="7"/>
  <c r="P11" i="7"/>
  <c r="O14" i="3" s="1"/>
  <c r="O57" i="7"/>
  <c r="O16" i="3"/>
  <c r="P13" i="7"/>
  <c r="P9" i="7" s="1"/>
  <c r="O109" i="7"/>
  <c r="P12" i="7"/>
  <c r="O65" i="7"/>
  <c r="N86" i="7"/>
  <c r="O87" i="7"/>
  <c r="N77" i="7"/>
  <c r="N14" i="7"/>
  <c r="F77" i="7"/>
  <c r="F75" i="7" s="1"/>
  <c r="F66" i="7"/>
  <c r="E78" i="7"/>
  <c r="F78" i="7" s="1"/>
  <c r="E77" i="7"/>
  <c r="G78" i="7"/>
  <c r="G77" i="7"/>
  <c r="I78" i="7"/>
  <c r="I77" i="7"/>
  <c r="L77" i="7"/>
  <c r="M78" i="7"/>
  <c r="M77" i="7"/>
  <c r="O79" i="7"/>
  <c r="Q78" i="7"/>
  <c r="Q77" i="7"/>
  <c r="R78" i="7"/>
  <c r="R77" i="7"/>
  <c r="H78" i="7"/>
  <c r="H77" i="7"/>
  <c r="H75" i="7" s="1"/>
  <c r="J78" i="7"/>
  <c r="K78" i="7" s="1"/>
  <c r="J77" i="7"/>
  <c r="J75" i="7" s="1"/>
  <c r="K77" i="7"/>
  <c r="K75" i="7" s="1"/>
  <c r="O80" i="7"/>
  <c r="O100" i="7"/>
  <c r="O102" i="7"/>
  <c r="O103" i="7"/>
  <c r="O104" i="7"/>
  <c r="O105" i="7"/>
  <c r="O106" i="7"/>
  <c r="O96" i="7"/>
  <c r="O20" i="7"/>
  <c r="O21" i="7"/>
  <c r="O23" i="7"/>
  <c r="O26" i="7"/>
  <c r="O27" i="7"/>
  <c r="O28" i="7"/>
  <c r="O29" i="7"/>
  <c r="O31" i="7"/>
  <c r="O32" i="7"/>
  <c r="O33" i="7"/>
  <c r="O34" i="7"/>
  <c r="O35" i="7"/>
  <c r="O38" i="7"/>
  <c r="O39" i="7"/>
  <c r="O40" i="7"/>
  <c r="O41" i="7"/>
  <c r="O42" i="7"/>
  <c r="O43" i="7"/>
  <c r="O44" i="7"/>
  <c r="O45" i="7"/>
  <c r="O47" i="7"/>
  <c r="O48" i="7"/>
  <c r="O49" i="7"/>
  <c r="O50" i="7"/>
  <c r="O51" i="7"/>
  <c r="O52" i="7"/>
  <c r="O54" i="7"/>
  <c r="P101" i="7"/>
  <c r="O48" i="3"/>
  <c r="O13" i="3"/>
  <c r="N38" i="3"/>
  <c r="N39" i="3"/>
  <c r="N44" i="3"/>
  <c r="I28" i="1"/>
  <c r="J28" i="1"/>
  <c r="I12" i="1"/>
  <c r="J12" i="1"/>
  <c r="N10" i="7" l="1"/>
  <c r="N13" i="7"/>
  <c r="N9" i="7" s="1"/>
  <c r="M16" i="3"/>
  <c r="O12" i="3"/>
  <c r="O11" i="3" s="1"/>
  <c r="P108" i="7"/>
  <c r="P110" i="7" s="1"/>
  <c r="O86" i="7"/>
  <c r="N12" i="7"/>
  <c r="O73" i="7"/>
  <c r="O72" i="7"/>
  <c r="K66" i="7"/>
  <c r="J66" i="7"/>
  <c r="H66" i="7"/>
  <c r="R67" i="7"/>
  <c r="R66" i="7"/>
  <c r="Q67" i="7"/>
  <c r="Q66" i="7"/>
  <c r="M67" i="7"/>
  <c r="M66" i="7"/>
  <c r="L67" i="7"/>
  <c r="L66" i="7"/>
  <c r="I67" i="7"/>
  <c r="I66" i="7"/>
  <c r="I71" i="7" s="1"/>
  <c r="G67" i="7"/>
  <c r="G66" i="7"/>
  <c r="G71" i="7" s="1"/>
  <c r="E67" i="7"/>
  <c r="E66" i="7"/>
  <c r="E71" i="7" s="1"/>
  <c r="O77" i="7"/>
  <c r="O78" i="7"/>
  <c r="M12" i="3" l="1"/>
  <c r="N108" i="7"/>
  <c r="P8" i="7"/>
  <c r="P7" i="7" s="1"/>
  <c r="P6" i="7" s="1"/>
  <c r="L12" i="5"/>
  <c r="J12" i="5"/>
  <c r="N110" i="7"/>
  <c r="O110" i="7" s="1"/>
  <c r="N8" i="7"/>
  <c r="F71" i="7"/>
  <c r="F70" i="7" s="1"/>
  <c r="E70" i="7"/>
  <c r="H71" i="7"/>
  <c r="H70" i="7" s="1"/>
  <c r="G70" i="7"/>
  <c r="J71" i="7"/>
  <c r="I70" i="7"/>
  <c r="O66" i="7"/>
  <c r="O67" i="7"/>
  <c r="O43" i="3"/>
  <c r="O49" i="3"/>
  <c r="N45" i="3"/>
  <c r="N42" i="3"/>
  <c r="M49" i="3"/>
  <c r="R37" i="7"/>
  <c r="Q37" i="7"/>
  <c r="O37" i="7"/>
  <c r="N7" i="7" l="1"/>
  <c r="O8" i="7"/>
  <c r="K71" i="7"/>
  <c r="K70" i="7" s="1"/>
  <c r="J70" i="7"/>
  <c r="O60" i="7"/>
  <c r="O47" i="3"/>
  <c r="O50" i="3" s="1"/>
  <c r="O40" i="3"/>
  <c r="O26" i="3"/>
  <c r="J16" i="1" s="1"/>
  <c r="L51" i="7"/>
  <c r="O37" i="3" l="1"/>
  <c r="J18" i="1" s="1"/>
  <c r="N6" i="7"/>
  <c r="O6" i="7" s="1"/>
  <c r="O7" i="7"/>
  <c r="O59" i="7"/>
  <c r="J14" i="1"/>
  <c r="L41" i="7"/>
  <c r="O15" i="3" l="1"/>
  <c r="O10" i="3" s="1"/>
  <c r="L14" i="7"/>
  <c r="J10" i="1" l="1"/>
  <c r="J8" i="1" s="1"/>
  <c r="J20" i="1" s="1"/>
  <c r="L8" i="7"/>
  <c r="L7" i="7"/>
  <c r="O10" i="7"/>
  <c r="L42" i="3"/>
  <c r="L49" i="3" s="1"/>
  <c r="P42" i="3"/>
  <c r="P49" i="3" s="1"/>
  <c r="Q42" i="3"/>
  <c r="Q49" i="3" s="1"/>
  <c r="G12" i="1"/>
  <c r="H12" i="1"/>
  <c r="K12" i="1"/>
  <c r="L12" i="1"/>
  <c r="F12" i="1"/>
  <c r="K42" i="3" l="1"/>
  <c r="K49" i="3" s="1"/>
  <c r="F13" i="1"/>
  <c r="K16" i="3"/>
  <c r="L54" i="7" l="1"/>
  <c r="L52" i="7"/>
  <c r="L49" i="7"/>
  <c r="L48" i="7"/>
  <c r="L47" i="7"/>
  <c r="L44" i="7"/>
  <c r="L43" i="7"/>
  <c r="L42" i="7"/>
  <c r="L40" i="7"/>
  <c r="L39" i="7"/>
  <c r="L37" i="7"/>
  <c r="L34" i="7"/>
  <c r="L33" i="7"/>
  <c r="L31" i="7"/>
  <c r="L28" i="7"/>
  <c r="L26" i="7"/>
  <c r="L23" i="7"/>
  <c r="L20" i="7"/>
  <c r="L18" i="7"/>
  <c r="Q53" i="7"/>
  <c r="P36" i="3" s="1"/>
  <c r="R53" i="7"/>
  <c r="Q36" i="3" s="1"/>
  <c r="Q34" i="3" s="1"/>
  <c r="O53" i="7" l="1"/>
  <c r="P32" i="3"/>
  <c r="P48" i="3" s="1"/>
  <c r="P34" i="3"/>
  <c r="Q32" i="3"/>
  <c r="Q48" i="3" s="1"/>
  <c r="R101" i="7"/>
  <c r="R99" i="7"/>
  <c r="Q44" i="3"/>
  <c r="R46" i="7"/>
  <c r="R36" i="7"/>
  <c r="R30" i="7"/>
  <c r="R25" i="7"/>
  <c r="R22" i="7"/>
  <c r="Q35" i="3" s="1"/>
  <c r="R19" i="7"/>
  <c r="Q31" i="3" s="1"/>
  <c r="R17" i="7"/>
  <c r="R12" i="7"/>
  <c r="Q12" i="3" s="1"/>
  <c r="Q11" i="3" s="1"/>
  <c r="R11" i="7"/>
  <c r="Q14" i="3" s="1"/>
  <c r="Q13" i="3" s="1"/>
  <c r="Q43" i="3" l="1"/>
  <c r="N32" i="3"/>
  <c r="M48" i="3"/>
  <c r="N36" i="3"/>
  <c r="N34" i="3"/>
  <c r="R98" i="7"/>
  <c r="R97" i="7" s="1"/>
  <c r="R94" i="7" s="1"/>
  <c r="R75" i="7" s="1"/>
  <c r="R73" i="7" s="1"/>
  <c r="R72" i="7" s="1"/>
  <c r="R16" i="7"/>
  <c r="Q28" i="3" s="1"/>
  <c r="R24" i="7"/>
  <c r="Q101" i="7"/>
  <c r="Q99" i="7"/>
  <c r="P44" i="3"/>
  <c r="Q46" i="7"/>
  <c r="Q36" i="7"/>
  <c r="Q30" i="7"/>
  <c r="Q25" i="7"/>
  <c r="Q22" i="7"/>
  <c r="P35" i="3" s="1"/>
  <c r="Q19" i="7"/>
  <c r="P31" i="3" s="1"/>
  <c r="Q17" i="7"/>
  <c r="Q12" i="7"/>
  <c r="P12" i="3" s="1"/>
  <c r="P11" i="3" s="1"/>
  <c r="Q11" i="7"/>
  <c r="P14" i="3" s="1"/>
  <c r="P13" i="3" s="1"/>
  <c r="O101" i="7"/>
  <c r="O99" i="7"/>
  <c r="O46" i="7"/>
  <c r="O36" i="7"/>
  <c r="O30" i="7"/>
  <c r="O25" i="7"/>
  <c r="O22" i="7"/>
  <c r="O19" i="7"/>
  <c r="L101" i="7"/>
  <c r="L99" i="7"/>
  <c r="K44" i="3"/>
  <c r="L53" i="7"/>
  <c r="K36" i="3" s="1"/>
  <c r="L46" i="7"/>
  <c r="L36" i="7"/>
  <c r="L30" i="7"/>
  <c r="L25" i="7"/>
  <c r="L22" i="7"/>
  <c r="K35" i="3" s="1"/>
  <c r="L19" i="7"/>
  <c r="K31" i="3" s="1"/>
  <c r="L17" i="7"/>
  <c r="L12" i="7"/>
  <c r="K12" i="3" s="1"/>
  <c r="K11" i="3" s="1"/>
  <c r="L11" i="7"/>
  <c r="K14" i="3" s="1"/>
  <c r="K13" i="3" s="1"/>
  <c r="P43" i="3" l="1"/>
  <c r="Q27" i="3"/>
  <c r="O16" i="7"/>
  <c r="O17" i="7"/>
  <c r="M13" i="3"/>
  <c r="N13" i="3" s="1"/>
  <c r="O11" i="7"/>
  <c r="R95" i="7"/>
  <c r="Q41" i="3" s="1"/>
  <c r="M11" i="3"/>
  <c r="N11" i="3" s="1"/>
  <c r="O12" i="7"/>
  <c r="Q98" i="7"/>
  <c r="Q95" i="7" s="1"/>
  <c r="P41" i="3" s="1"/>
  <c r="L98" i="7"/>
  <c r="L95" i="7" s="1"/>
  <c r="R15" i="7"/>
  <c r="R13" i="7" s="1"/>
  <c r="K32" i="3"/>
  <c r="K48" i="3" s="1"/>
  <c r="K34" i="3"/>
  <c r="Q30" i="3"/>
  <c r="Q26" i="3" s="1"/>
  <c r="L16" i="1" s="1"/>
  <c r="L24" i="7"/>
  <c r="L16" i="7"/>
  <c r="K28" i="3" s="1"/>
  <c r="Q24" i="7"/>
  <c r="P30" i="3" s="1"/>
  <c r="Q16" i="7"/>
  <c r="P28" i="3" s="1"/>
  <c r="K17" i="3" l="1"/>
  <c r="K15" i="3" s="1"/>
  <c r="K10" i="3" s="1"/>
  <c r="F10" i="1" s="1"/>
  <c r="K41" i="3"/>
  <c r="O108" i="7"/>
  <c r="R14" i="7"/>
  <c r="R6" i="7"/>
  <c r="R60" i="7"/>
  <c r="P27" i="3"/>
  <c r="P26" i="3" s="1"/>
  <c r="K16" i="1" s="1"/>
  <c r="K27" i="3"/>
  <c r="N12" i="3"/>
  <c r="N14" i="3"/>
  <c r="M43" i="3"/>
  <c r="O98" i="7"/>
  <c r="O15" i="7"/>
  <c r="O24" i="7"/>
  <c r="Q97" i="7"/>
  <c r="Q94" i="7" s="1"/>
  <c r="Q75" i="7" s="1"/>
  <c r="Q73" i="7" s="1"/>
  <c r="Q72" i="7" s="1"/>
  <c r="P40" i="3"/>
  <c r="P37" i="3" s="1"/>
  <c r="K18" i="1" s="1"/>
  <c r="Q60" i="7"/>
  <c r="R109" i="7"/>
  <c r="L97" i="7"/>
  <c r="L94" i="7" s="1"/>
  <c r="L75" i="7" s="1"/>
  <c r="L73" i="7" s="1"/>
  <c r="L72" i="7" s="1"/>
  <c r="K40" i="3"/>
  <c r="P17" i="3"/>
  <c r="R9" i="7"/>
  <c r="L11" i="5" s="1"/>
  <c r="L10" i="5" s="1"/>
  <c r="K30" i="3"/>
  <c r="K26" i="3" s="1"/>
  <c r="F16" i="1" s="1"/>
  <c r="O95" i="7"/>
  <c r="Q17" i="3"/>
  <c r="L60" i="7"/>
  <c r="L15" i="7"/>
  <c r="L109" i="7" s="1"/>
  <c r="Q15" i="7"/>
  <c r="Q13" i="7" s="1"/>
  <c r="R10" i="7"/>
  <c r="R108" i="7" s="1"/>
  <c r="M54" i="7"/>
  <c r="M57" i="7" s="1"/>
  <c r="N43" i="3" l="1"/>
  <c r="Q14" i="7"/>
  <c r="Q6" i="7"/>
  <c r="Q16" i="3"/>
  <c r="Q15" i="3" s="1"/>
  <c r="Q10" i="3" s="1"/>
  <c r="L10" i="1" s="1"/>
  <c r="R8" i="7"/>
  <c r="R7" i="7"/>
  <c r="L59" i="7"/>
  <c r="Q59" i="7"/>
  <c r="R59" i="7"/>
  <c r="Q40" i="3"/>
  <c r="Q37" i="3" s="1"/>
  <c r="L18" i="1" s="1"/>
  <c r="Q47" i="3"/>
  <c r="Q50" i="3" s="1"/>
  <c r="P47" i="3"/>
  <c r="P50" i="3" s="1"/>
  <c r="N28" i="3"/>
  <c r="K47" i="3"/>
  <c r="K50" i="3" s="1"/>
  <c r="N27" i="3"/>
  <c r="O94" i="7"/>
  <c r="O97" i="7"/>
  <c r="R110" i="7"/>
  <c r="R58" i="7" s="1"/>
  <c r="L9" i="7"/>
  <c r="Q10" i="7"/>
  <c r="Q108" i="7" s="1"/>
  <c r="P16" i="3"/>
  <c r="P15" i="3" s="1"/>
  <c r="P10" i="3" s="1"/>
  <c r="K10" i="1" s="1"/>
  <c r="L13" i="7"/>
  <c r="Q109" i="7"/>
  <c r="Q9" i="7"/>
  <c r="N30" i="3" l="1"/>
  <c r="M26" i="3"/>
  <c r="L10" i="7"/>
  <c r="L108" i="7" s="1"/>
  <c r="L110" i="7" s="1"/>
  <c r="L6" i="7"/>
  <c r="Q8" i="7"/>
  <c r="Q7" i="7"/>
  <c r="O13" i="7"/>
  <c r="M47" i="3"/>
  <c r="M50" i="3" s="1"/>
  <c r="M17" i="3"/>
  <c r="N17" i="3" s="1"/>
  <c r="H16" i="1"/>
  <c r="H17" i="1" s="1"/>
  <c r="J11" i="5"/>
  <c r="J10" i="5" s="1"/>
  <c r="O9" i="7"/>
  <c r="K12" i="5" s="1"/>
  <c r="K11" i="5" s="1"/>
  <c r="K10" i="5" s="1"/>
  <c r="H12" i="5"/>
  <c r="H11" i="5" s="1"/>
  <c r="H10" i="5" s="1"/>
  <c r="Q110" i="7"/>
  <c r="Q58" i="7" s="1"/>
  <c r="L58" i="7"/>
  <c r="J44" i="3"/>
  <c r="J43" i="3" s="1"/>
  <c r="L44" i="3"/>
  <c r="I44" i="3"/>
  <c r="I43" i="3" s="1"/>
  <c r="K50" i="7"/>
  <c r="M21" i="7"/>
  <c r="N26" i="3" l="1"/>
  <c r="I16" i="1" s="1"/>
  <c r="M40" i="3"/>
  <c r="M37" i="3" s="1"/>
  <c r="O14" i="7"/>
  <c r="H103" i="7"/>
  <c r="N40" i="3" l="1"/>
  <c r="N16" i="3"/>
  <c r="M15" i="3"/>
  <c r="G13" i="1"/>
  <c r="O58" i="7" l="1"/>
  <c r="H18" i="1"/>
  <c r="N37" i="3"/>
  <c r="I18" i="1" s="1"/>
  <c r="I14" i="1" s="1"/>
  <c r="N15" i="3"/>
  <c r="M10" i="3"/>
  <c r="G28" i="1"/>
  <c r="F28" i="1"/>
  <c r="H10" i="1" l="1"/>
  <c r="N10" i="3"/>
  <c r="I10" i="1" s="1"/>
  <c r="I8" i="1" s="1"/>
  <c r="I20" i="1" s="1"/>
  <c r="L28" i="1"/>
  <c r="K28" i="1"/>
  <c r="H28" i="1"/>
  <c r="L13" i="1"/>
  <c r="K13" i="1"/>
  <c r="H13" i="1"/>
  <c r="G42" i="3" l="1"/>
  <c r="E42" i="3"/>
  <c r="G12" i="7" l="1"/>
  <c r="G12" i="3" s="1"/>
  <c r="I12" i="7"/>
  <c r="M12" i="7"/>
  <c r="G17" i="7"/>
  <c r="I17" i="7"/>
  <c r="M17" i="7"/>
  <c r="G25" i="7"/>
  <c r="I25" i="7"/>
  <c r="M25" i="7"/>
  <c r="G30" i="7"/>
  <c r="I30" i="7"/>
  <c r="M30" i="7"/>
  <c r="G36" i="7"/>
  <c r="I36" i="7"/>
  <c r="M36" i="7"/>
  <c r="G46" i="7"/>
  <c r="I46" i="7"/>
  <c r="M46" i="7"/>
  <c r="G53" i="7"/>
  <c r="G36" i="3" s="1"/>
  <c r="I53" i="7"/>
  <c r="M53" i="7"/>
  <c r="L36" i="3" s="1"/>
  <c r="G101" i="7"/>
  <c r="I101" i="7"/>
  <c r="M101" i="7"/>
  <c r="M99" i="7"/>
  <c r="G99" i="7"/>
  <c r="I99" i="7"/>
  <c r="G11" i="7"/>
  <c r="G14" i="3" s="1"/>
  <c r="I11" i="7"/>
  <c r="M11" i="7"/>
  <c r="E12" i="7"/>
  <c r="E12" i="3" s="1"/>
  <c r="E11" i="3" s="1"/>
  <c r="E11" i="7"/>
  <c r="E14" i="3" s="1"/>
  <c r="E13" i="3" s="1"/>
  <c r="H11" i="7"/>
  <c r="H14" i="3" s="1"/>
  <c r="L14" i="3" l="1"/>
  <c r="L13" i="3" s="1"/>
  <c r="L12" i="3"/>
  <c r="L11" i="3" s="1"/>
  <c r="I98" i="7"/>
  <c r="I95" i="7" s="1"/>
  <c r="G98" i="7"/>
  <c r="G95" i="7" s="1"/>
  <c r="G41" i="3" s="1"/>
  <c r="H13" i="3"/>
  <c r="G13" i="3"/>
  <c r="G11" i="3"/>
  <c r="I24" i="7"/>
  <c r="G24" i="7"/>
  <c r="M98" i="7"/>
  <c r="G32" i="3"/>
  <c r="G34" i="3"/>
  <c r="M24" i="7"/>
  <c r="J11" i="7"/>
  <c r="I14" i="3" s="1"/>
  <c r="I97" i="7"/>
  <c r="I94" i="7" s="1"/>
  <c r="I75" i="7" s="1"/>
  <c r="I73" i="7" s="1"/>
  <c r="I72" i="7" s="1"/>
  <c r="L34" i="3"/>
  <c r="L32" i="3"/>
  <c r="L48" i="3" s="1"/>
  <c r="J96" i="7"/>
  <c r="J54" i="7"/>
  <c r="J57" i="7" s="1"/>
  <c r="K57" i="7" s="1"/>
  <c r="G45" i="3"/>
  <c r="L43" i="3"/>
  <c r="M19" i="7"/>
  <c r="L31" i="3" s="1"/>
  <c r="G19" i="7"/>
  <c r="G31" i="3" s="1"/>
  <c r="I19" i="7"/>
  <c r="J103" i="7"/>
  <c r="K103" i="7" s="1"/>
  <c r="J104" i="7"/>
  <c r="K104" i="7" s="1"/>
  <c r="J105" i="7"/>
  <c r="K105" i="7" s="1"/>
  <c r="J106" i="7"/>
  <c r="K106" i="7" s="1"/>
  <c r="I23" i="7"/>
  <c r="I22" i="7" s="1"/>
  <c r="F96" i="7"/>
  <c r="K11" i="7" l="1"/>
  <c r="J14" i="3" s="1"/>
  <c r="J13" i="3" s="1"/>
  <c r="I42" i="3"/>
  <c r="K96" i="7"/>
  <c r="J42" i="3" s="1"/>
  <c r="J53" i="7"/>
  <c r="I36" i="3" s="1"/>
  <c r="I34" i="3" s="1"/>
  <c r="K54" i="7"/>
  <c r="K53" i="7" s="1"/>
  <c r="J36" i="3" s="1"/>
  <c r="M22" i="7"/>
  <c r="G97" i="7"/>
  <c r="G94" i="7" s="1"/>
  <c r="G75" i="7" s="1"/>
  <c r="G73" i="7" s="1"/>
  <c r="G72" i="7" s="1"/>
  <c r="I16" i="7"/>
  <c r="I15" i="7" s="1"/>
  <c r="I13" i="3"/>
  <c r="G30" i="3"/>
  <c r="H42" i="3"/>
  <c r="H12" i="7"/>
  <c r="H12" i="3" s="1"/>
  <c r="J12" i="7"/>
  <c r="M97" i="7"/>
  <c r="M94" i="7" s="1"/>
  <c r="M75" i="7" s="1"/>
  <c r="M73" i="7" s="1"/>
  <c r="M72" i="7" s="1"/>
  <c r="M95" i="7"/>
  <c r="L41" i="3" s="1"/>
  <c r="H106" i="7"/>
  <c r="H105" i="7"/>
  <c r="H104" i="7"/>
  <c r="H102" i="7"/>
  <c r="H67" i="7" s="1"/>
  <c r="H100" i="7"/>
  <c r="H99" i="7" s="1"/>
  <c r="H72" i="7" s="1"/>
  <c r="H54" i="7"/>
  <c r="H52" i="7"/>
  <c r="H51" i="7"/>
  <c r="H49" i="7"/>
  <c r="H48" i="7"/>
  <c r="H47" i="7"/>
  <c r="H45" i="7"/>
  <c r="H44" i="7"/>
  <c r="H43" i="7"/>
  <c r="H42" i="7"/>
  <c r="H41" i="7"/>
  <c r="H40" i="7"/>
  <c r="H39" i="7"/>
  <c r="H38" i="7"/>
  <c r="H37" i="7"/>
  <c r="H35" i="7"/>
  <c r="H34" i="7"/>
  <c r="H33" i="7"/>
  <c r="H32" i="7"/>
  <c r="H31" i="7"/>
  <c r="H29" i="7"/>
  <c r="H28" i="7"/>
  <c r="H27" i="7"/>
  <c r="H26" i="7"/>
  <c r="H21" i="7"/>
  <c r="H20" i="7"/>
  <c r="H18" i="7"/>
  <c r="H17" i="7" s="1"/>
  <c r="G23" i="7"/>
  <c r="M16" i="7" l="1"/>
  <c r="L28" i="3" s="1"/>
  <c r="L35" i="3"/>
  <c r="I13" i="7"/>
  <c r="I109" i="7"/>
  <c r="I14" i="7"/>
  <c r="I6" i="7"/>
  <c r="H53" i="7"/>
  <c r="H36" i="3" s="1"/>
  <c r="H57" i="7"/>
  <c r="L27" i="3"/>
  <c r="L30" i="3"/>
  <c r="I12" i="3"/>
  <c r="I11" i="3" s="1"/>
  <c r="K12" i="7"/>
  <c r="J12" i="3" s="1"/>
  <c r="J11" i="3" s="1"/>
  <c r="I32" i="3"/>
  <c r="J32" i="3"/>
  <c r="J34" i="3"/>
  <c r="G44" i="3"/>
  <c r="M15" i="7"/>
  <c r="M109" i="7" s="1"/>
  <c r="H11" i="3"/>
  <c r="H36" i="7"/>
  <c r="H46" i="7"/>
  <c r="H25" i="7"/>
  <c r="I9" i="7"/>
  <c r="H23" i="7"/>
  <c r="H22" i="7" s="1"/>
  <c r="H35" i="3" s="1"/>
  <c r="G22" i="7"/>
  <c r="H32" i="3"/>
  <c r="H34" i="3"/>
  <c r="H30" i="7"/>
  <c r="H101" i="7"/>
  <c r="H98" i="7" s="1"/>
  <c r="F42" i="3"/>
  <c r="F12" i="7"/>
  <c r="F12" i="3" s="1"/>
  <c r="I60" i="7"/>
  <c r="H45" i="3"/>
  <c r="H19" i="7"/>
  <c r="H31" i="3" s="1"/>
  <c r="F11" i="7"/>
  <c r="F14" i="3" s="1"/>
  <c r="E37" i="7"/>
  <c r="E23" i="7"/>
  <c r="G16" i="7" l="1"/>
  <c r="G35" i="3"/>
  <c r="I8" i="7"/>
  <c r="I7" i="7"/>
  <c r="I59" i="7"/>
  <c r="L26" i="3"/>
  <c r="G16" i="1" s="1"/>
  <c r="L17" i="1"/>
  <c r="M13" i="7"/>
  <c r="M6" i="7" s="1"/>
  <c r="M9" i="7"/>
  <c r="H16" i="7"/>
  <c r="H28" i="3" s="1"/>
  <c r="H27" i="3" s="1"/>
  <c r="F13" i="3"/>
  <c r="F11" i="3"/>
  <c r="G28" i="3"/>
  <c r="G27" i="3" s="1"/>
  <c r="G26" i="3" s="1"/>
  <c r="G15" i="7"/>
  <c r="G109" i="7" s="1"/>
  <c r="H95" i="7"/>
  <c r="H41" i="3" s="1"/>
  <c r="H97" i="7"/>
  <c r="H94" i="7" s="1"/>
  <c r="H24" i="7"/>
  <c r="G60" i="7"/>
  <c r="J102" i="7"/>
  <c r="J67" i="7" s="1"/>
  <c r="J100" i="7"/>
  <c r="J52" i="7"/>
  <c r="K52" i="7" s="1"/>
  <c r="J51" i="7"/>
  <c r="K51" i="7" s="1"/>
  <c r="J49" i="7"/>
  <c r="K49" i="7" s="1"/>
  <c r="J48" i="7"/>
  <c r="K48" i="7" s="1"/>
  <c r="J47" i="7"/>
  <c r="K47" i="7" s="1"/>
  <c r="J45" i="7"/>
  <c r="K45" i="7" s="1"/>
  <c r="J44" i="7"/>
  <c r="K44" i="7" s="1"/>
  <c r="J43" i="7"/>
  <c r="K43" i="7" s="1"/>
  <c r="J42" i="7"/>
  <c r="K42" i="7" s="1"/>
  <c r="J41" i="7"/>
  <c r="K41" i="7" s="1"/>
  <c r="J40" i="7"/>
  <c r="K40" i="7" s="1"/>
  <c r="J39" i="7"/>
  <c r="K39" i="7" s="1"/>
  <c r="J38" i="7"/>
  <c r="K38" i="7" s="1"/>
  <c r="J37" i="7"/>
  <c r="K37" i="7" s="1"/>
  <c r="J35" i="7"/>
  <c r="K35" i="7" s="1"/>
  <c r="J34" i="7"/>
  <c r="K34" i="7" s="1"/>
  <c r="J33" i="7"/>
  <c r="K33" i="7" s="1"/>
  <c r="J32" i="7"/>
  <c r="K32" i="7" s="1"/>
  <c r="J31" i="7"/>
  <c r="K31" i="7" s="1"/>
  <c r="J29" i="7"/>
  <c r="K29" i="7" s="1"/>
  <c r="J28" i="7"/>
  <c r="K28" i="7" s="1"/>
  <c r="J27" i="7"/>
  <c r="K27" i="7" s="1"/>
  <c r="J26" i="7"/>
  <c r="K26" i="7" s="1"/>
  <c r="J21" i="7"/>
  <c r="K21" i="7" s="1"/>
  <c r="J20" i="7"/>
  <c r="K20" i="7" s="1"/>
  <c r="J18" i="7"/>
  <c r="G59" i="7" l="1"/>
  <c r="L47" i="3"/>
  <c r="L50" i="3" s="1"/>
  <c r="M60" i="7"/>
  <c r="L40" i="3"/>
  <c r="L37" i="3" s="1"/>
  <c r="G18" i="1" s="1"/>
  <c r="L17" i="3"/>
  <c r="I12" i="5"/>
  <c r="I11" i="5" s="1"/>
  <c r="I10" i="5" s="1"/>
  <c r="M14" i="7"/>
  <c r="K25" i="7"/>
  <c r="H44" i="3"/>
  <c r="K30" i="7"/>
  <c r="H15" i="7"/>
  <c r="H109" i="7" s="1"/>
  <c r="K46" i="7"/>
  <c r="J17" i="7"/>
  <c r="K18" i="7"/>
  <c r="K17" i="7" s="1"/>
  <c r="J99" i="7"/>
  <c r="J72" i="7" s="1"/>
  <c r="K100" i="7"/>
  <c r="K99" i="7" s="1"/>
  <c r="K72" i="7" s="1"/>
  <c r="K19" i="7"/>
  <c r="J31" i="3" s="1"/>
  <c r="J101" i="7"/>
  <c r="K102" i="7"/>
  <c r="K36" i="7"/>
  <c r="L19" i="1"/>
  <c r="H30" i="3"/>
  <c r="H26" i="3" s="1"/>
  <c r="J25" i="7"/>
  <c r="J30" i="7"/>
  <c r="J36" i="7"/>
  <c r="G17" i="3"/>
  <c r="G9" i="7"/>
  <c r="D12" i="5" s="1"/>
  <c r="D11" i="5" s="1"/>
  <c r="G13" i="7"/>
  <c r="G6" i="7" s="1"/>
  <c r="J46" i="7"/>
  <c r="G17" i="1"/>
  <c r="J19" i="7"/>
  <c r="I31" i="3" s="1"/>
  <c r="J23" i="7"/>
  <c r="E22" i="7"/>
  <c r="E35" i="3" s="1"/>
  <c r="E17" i="7"/>
  <c r="E101" i="7"/>
  <c r="E99" i="7"/>
  <c r="E46" i="7"/>
  <c r="E36" i="7"/>
  <c r="E30" i="7"/>
  <c r="E25" i="7"/>
  <c r="E19" i="7"/>
  <c r="E31" i="3" s="1"/>
  <c r="E53" i="7"/>
  <c r="E36" i="3" s="1"/>
  <c r="F18" i="7"/>
  <c r="F17" i="7" s="1"/>
  <c r="F20" i="7"/>
  <c r="F21" i="7"/>
  <c r="F26" i="7"/>
  <c r="F27" i="7"/>
  <c r="F28" i="7"/>
  <c r="F29" i="7"/>
  <c r="F31" i="7"/>
  <c r="F32" i="7"/>
  <c r="F33" i="7"/>
  <c r="F34" i="7"/>
  <c r="F35" i="7"/>
  <c r="F37" i="7"/>
  <c r="F38" i="7"/>
  <c r="F39" i="7"/>
  <c r="F40" i="7"/>
  <c r="F41" i="7"/>
  <c r="F42" i="7"/>
  <c r="F43" i="7"/>
  <c r="F44" i="7"/>
  <c r="F45" i="7"/>
  <c r="F47" i="7"/>
  <c r="F48" i="7"/>
  <c r="F49" i="7"/>
  <c r="F51" i="7"/>
  <c r="F52" i="7"/>
  <c r="F54" i="7"/>
  <c r="F53" i="7" s="1"/>
  <c r="F36" i="3" s="1"/>
  <c r="F100" i="7"/>
  <c r="F99" i="7" s="1"/>
  <c r="F72" i="7" s="1"/>
  <c r="F102" i="7"/>
  <c r="F67" i="7" s="1"/>
  <c r="F103" i="7"/>
  <c r="F104" i="7"/>
  <c r="F105" i="7"/>
  <c r="F106" i="7"/>
  <c r="M8" i="7" l="1"/>
  <c r="M7" i="7"/>
  <c r="K101" i="7"/>
  <c r="K67" i="7"/>
  <c r="M59" i="7"/>
  <c r="H60" i="7"/>
  <c r="E45" i="3"/>
  <c r="H40" i="3"/>
  <c r="H37" i="3" s="1"/>
  <c r="H9" i="7"/>
  <c r="E12" i="5" s="1"/>
  <c r="E11" i="5" s="1"/>
  <c r="E10" i="5" s="1"/>
  <c r="L16" i="3"/>
  <c r="L15" i="3" s="1"/>
  <c r="L10" i="3" s="1"/>
  <c r="G10" i="1" s="1"/>
  <c r="H13" i="7"/>
  <c r="J98" i="7"/>
  <c r="J95" i="7" s="1"/>
  <c r="K24" i="7"/>
  <c r="J22" i="7"/>
  <c r="K23" i="7"/>
  <c r="K22" i="7" s="1"/>
  <c r="K98" i="7"/>
  <c r="J24" i="7"/>
  <c r="I30" i="3" s="1"/>
  <c r="L8" i="1"/>
  <c r="G40" i="3"/>
  <c r="G37" i="3" s="1"/>
  <c r="F36" i="7"/>
  <c r="F46" i="7"/>
  <c r="L14" i="1"/>
  <c r="L15" i="1"/>
  <c r="F101" i="7"/>
  <c r="F98" i="7" s="1"/>
  <c r="F30" i="7"/>
  <c r="F25" i="7"/>
  <c r="E32" i="3"/>
  <c r="E34" i="3"/>
  <c r="F32" i="3"/>
  <c r="F34" i="3"/>
  <c r="F45" i="3"/>
  <c r="F19" i="7"/>
  <c r="F31" i="3" s="1"/>
  <c r="F23" i="7"/>
  <c r="F22" i="7" s="1"/>
  <c r="F35" i="3" s="1"/>
  <c r="E24" i="7"/>
  <c r="E16" i="7"/>
  <c r="E28" i="3" s="1"/>
  <c r="E27" i="3" s="1"/>
  <c r="E98" i="7"/>
  <c r="K16" i="7" l="1"/>
  <c r="J35" i="3"/>
  <c r="J16" i="7"/>
  <c r="I28" i="3" s="1"/>
  <c r="I35" i="3"/>
  <c r="K95" i="7"/>
  <c r="J41" i="3" s="1"/>
  <c r="I41" i="3"/>
  <c r="H14" i="7"/>
  <c r="H6" i="7"/>
  <c r="H59" i="7"/>
  <c r="H17" i="3"/>
  <c r="J97" i="7"/>
  <c r="J94" i="7" s="1"/>
  <c r="K94" i="7" s="1"/>
  <c r="E44" i="3"/>
  <c r="J30" i="3"/>
  <c r="J28" i="3"/>
  <c r="K15" i="7"/>
  <c r="K60" i="7"/>
  <c r="K97" i="7"/>
  <c r="J15" i="7"/>
  <c r="J109" i="7" s="1"/>
  <c r="G14" i="1"/>
  <c r="L11" i="1"/>
  <c r="L9" i="1" s="1"/>
  <c r="L21" i="1" s="1"/>
  <c r="E30" i="3"/>
  <c r="E26" i="3" s="1"/>
  <c r="F16" i="7"/>
  <c r="F28" i="3" s="1"/>
  <c r="I27" i="3"/>
  <c r="I26" i="3" s="1"/>
  <c r="G19" i="1"/>
  <c r="G15" i="1" s="1"/>
  <c r="F95" i="7"/>
  <c r="F41" i="3" s="1"/>
  <c r="F97" i="7"/>
  <c r="F94" i="7" s="1"/>
  <c r="L20" i="1"/>
  <c r="F24" i="7"/>
  <c r="F30" i="3" s="1"/>
  <c r="G8" i="1"/>
  <c r="E95" i="7"/>
  <c r="E41" i="3" s="1"/>
  <c r="E97" i="7"/>
  <c r="E15" i="7"/>
  <c r="E109" i="7" s="1"/>
  <c r="K109" i="7" l="1"/>
  <c r="H16" i="3"/>
  <c r="H15" i="3" s="1"/>
  <c r="H10" i="3" s="1"/>
  <c r="H8" i="7"/>
  <c r="H7" i="7"/>
  <c r="K59" i="7"/>
  <c r="E60" i="7"/>
  <c r="J27" i="3"/>
  <c r="J48" i="3"/>
  <c r="F44" i="3"/>
  <c r="J60" i="7"/>
  <c r="J13" i="7"/>
  <c r="J9" i="7"/>
  <c r="F12" i="5" s="1"/>
  <c r="F11" i="5" s="1"/>
  <c r="F10" i="5" s="1"/>
  <c r="J26" i="3"/>
  <c r="K17" i="1" s="1"/>
  <c r="K9" i="7"/>
  <c r="G12" i="5" s="1"/>
  <c r="G11" i="5" s="1"/>
  <c r="G10" i="5" s="1"/>
  <c r="K13" i="7"/>
  <c r="K6" i="7" s="1"/>
  <c r="G20" i="1"/>
  <c r="F27" i="3"/>
  <c r="F26" i="3" s="1"/>
  <c r="E14" i="7"/>
  <c r="E40" i="3"/>
  <c r="E37" i="3" s="1"/>
  <c r="E17" i="3"/>
  <c r="I17" i="3"/>
  <c r="F15" i="7"/>
  <c r="F109" i="7" s="1"/>
  <c r="E94" i="7"/>
  <c r="E75" i="7" s="1"/>
  <c r="E73" i="7" s="1"/>
  <c r="E72" i="7" s="1"/>
  <c r="E9" i="7"/>
  <c r="B12" i="5" s="1"/>
  <c r="B11" i="5" s="1"/>
  <c r="E8" i="7" l="1"/>
  <c r="E7" i="7"/>
  <c r="J14" i="7"/>
  <c r="J6" i="7"/>
  <c r="J59" i="7"/>
  <c r="E59" i="7"/>
  <c r="F60" i="7"/>
  <c r="J17" i="3"/>
  <c r="I16" i="3"/>
  <c r="I15" i="3" s="1"/>
  <c r="I10" i="3" s="1"/>
  <c r="K14" i="7"/>
  <c r="J40" i="3"/>
  <c r="J37" i="3" s="1"/>
  <c r="K19" i="1" s="1"/>
  <c r="K15" i="1" s="1"/>
  <c r="I40" i="3"/>
  <c r="F15" i="1"/>
  <c r="F9" i="7"/>
  <c r="C12" i="5" s="1"/>
  <c r="C11" i="5" s="1"/>
  <c r="C10" i="5" s="1"/>
  <c r="F17" i="3"/>
  <c r="E16" i="3"/>
  <c r="E15" i="3" s="1"/>
  <c r="E10" i="3" s="1"/>
  <c r="E10" i="7"/>
  <c r="E13" i="7"/>
  <c r="E6" i="7" s="1"/>
  <c r="F14" i="7"/>
  <c r="E108" i="7" l="1"/>
  <c r="E110" i="7" s="1"/>
  <c r="E58" i="7" s="1"/>
  <c r="F8" i="7"/>
  <c r="F7" i="7"/>
  <c r="J16" i="3"/>
  <c r="K8" i="7"/>
  <c r="K7" i="7"/>
  <c r="J8" i="7"/>
  <c r="J7" i="7"/>
  <c r="F59" i="7"/>
  <c r="J15" i="3"/>
  <c r="J10" i="3" s="1"/>
  <c r="K8" i="1" s="1"/>
  <c r="K14" i="1"/>
  <c r="I37" i="3"/>
  <c r="F40" i="3"/>
  <c r="F37" i="3" s="1"/>
  <c r="F16" i="3"/>
  <c r="F13" i="7"/>
  <c r="F6" i="7" s="1"/>
  <c r="F10" i="7"/>
  <c r="F9" i="1"/>
  <c r="F21" i="1" s="1"/>
  <c r="H8" i="1"/>
  <c r="H11" i="1"/>
  <c r="H9" i="1" s="1"/>
  <c r="G14" i="7"/>
  <c r="H10" i="7"/>
  <c r="H108" i="7" s="1"/>
  <c r="H110" i="7" s="1"/>
  <c r="I10" i="7"/>
  <c r="I108" i="7" s="1"/>
  <c r="I110" i="7" s="1"/>
  <c r="M10" i="7"/>
  <c r="M108" i="7" s="1"/>
  <c r="M110" i="7" s="1"/>
  <c r="J10" i="7"/>
  <c r="J108" i="7" s="1"/>
  <c r="J110" i="7" s="1"/>
  <c r="F108" i="7" l="1"/>
  <c r="F110" i="7" s="1"/>
  <c r="F58" i="7" s="1"/>
  <c r="G16" i="3"/>
  <c r="G8" i="7"/>
  <c r="G7" i="7"/>
  <c r="K20" i="1"/>
  <c r="K11" i="1"/>
  <c r="K9" i="1" s="1"/>
  <c r="K21" i="1" s="1"/>
  <c r="K10" i="7"/>
  <c r="H19" i="1"/>
  <c r="H15" i="1" s="1"/>
  <c r="H21" i="1" s="1"/>
  <c r="H14" i="1"/>
  <c r="H20" i="1" s="1"/>
  <c r="F15" i="3"/>
  <c r="F10" i="3" s="1"/>
  <c r="G15" i="3"/>
  <c r="G10" i="3" s="1"/>
  <c r="G11" i="1" s="1"/>
  <c r="G9" i="1" s="1"/>
  <c r="G21" i="1" s="1"/>
  <c r="I58" i="7"/>
  <c r="G10" i="7"/>
  <c r="J58" i="7"/>
  <c r="H58" i="7"/>
  <c r="G108" i="7" l="1"/>
  <c r="G110" i="7" s="1"/>
  <c r="G58" i="7" s="1"/>
  <c r="K108" i="7"/>
  <c r="K110" i="7" s="1"/>
  <c r="K58" i="7" s="1"/>
  <c r="M58" i="7"/>
  <c r="F8" i="1"/>
  <c r="K43" i="3"/>
  <c r="K37" i="3" s="1"/>
  <c r="F18" i="1" s="1"/>
  <c r="F14" i="1" s="1"/>
  <c r="F20" i="1" s="1"/>
</calcChain>
</file>

<file path=xl/sharedStrings.xml><?xml version="1.0" encoding="utf-8"?>
<sst xmlns="http://schemas.openxmlformats.org/spreadsheetml/2006/main" count="322" uniqueCount="176">
  <si>
    <t>PRIHODI POSLOVANJA</t>
  </si>
  <si>
    <t>VIŠAK / MANJAK IZ PRETHODNE(IH) GODINE KOJI ĆE SE RASPOREDITI / POKRITI</t>
  </si>
  <si>
    <t>PRIMICI OD FINANCIJSKE IMOVINE I ZADUŽIVANJA</t>
  </si>
  <si>
    <t>IZDACI ZA FINANCIJSKU IMOVINU I OTPLATE ZAJMOVA</t>
  </si>
  <si>
    <t>NETO FINANCIRANJE</t>
  </si>
  <si>
    <t>VIŠAK / MANJAK + NETO FINANCIRANJE</t>
  </si>
  <si>
    <t>Izvršenje 2021.</t>
  </si>
  <si>
    <t>Plan 2022.</t>
  </si>
  <si>
    <t>Naziv prihoda</t>
  </si>
  <si>
    <t xml:space="preserve">A. RAČUN PRIHODA I RASHODA </t>
  </si>
  <si>
    <t>Razred</t>
  </si>
  <si>
    <t>Skupina</t>
  </si>
  <si>
    <t>Izvor</t>
  </si>
  <si>
    <t>Prihodi poslovanja</t>
  </si>
  <si>
    <t>Opći prihodi i primici</t>
  </si>
  <si>
    <t>Prihodi od prodaje nefinancijske imovine</t>
  </si>
  <si>
    <t>RASHODI POSLOVANJA</t>
  </si>
  <si>
    <t>Naziv rashoda</t>
  </si>
  <si>
    <t>Rashodi poslovanja</t>
  </si>
  <si>
    <t>Rashodi za zaposlene</t>
  </si>
  <si>
    <t>Rashodi za nabavu nefinancijske imovine</t>
  </si>
  <si>
    <t>Rashodi za nabavu neproizvedene dugotrajne imovine</t>
  </si>
  <si>
    <t>RASHODI PREMA FUNKCIJSKOJ KLASIFIKACIJI</t>
  </si>
  <si>
    <t>BROJČANA OZNAKA I NAZIV</t>
  </si>
  <si>
    <t>UKUPNI RASHODI</t>
  </si>
  <si>
    <t>01 Opće javne usluge</t>
  </si>
  <si>
    <t>011 Izvršna i zakonodavna tijela, financijski i fiskalni poslovi</t>
  </si>
  <si>
    <t>013 Opće usluge</t>
  </si>
  <si>
    <t>04 Ekonomski poslovi</t>
  </si>
  <si>
    <t>041 Opći ekonomski, trgovački i poslovi vezani uz rad</t>
  </si>
  <si>
    <t>B. RAČUN FINANCIRANJA</t>
  </si>
  <si>
    <t>Primici od financijske imovine i zaduživanja</t>
  </si>
  <si>
    <t>Izdaci za financijsku imovinu i otplate zajmova</t>
  </si>
  <si>
    <t>II. POSEBNI DIO</t>
  </si>
  <si>
    <t>I. OPĆI DIO</t>
  </si>
  <si>
    <t>Šifra</t>
  </si>
  <si>
    <t xml:space="preserve">Naziv </t>
  </si>
  <si>
    <t>Materijalni rashodi</t>
  </si>
  <si>
    <t>Primici od zaduživanja</t>
  </si>
  <si>
    <t>Namjenski primici od zaduživanja</t>
  </si>
  <si>
    <t>Izdaci za otplatu glavnice primljenih kredita i zajmova</t>
  </si>
  <si>
    <t>Vlastiti prihodi</t>
  </si>
  <si>
    <t>A) SAŽETAK RAČUNA PRIHODA I RASHODA</t>
  </si>
  <si>
    <t>B) SAŽETAK RAČUNA FINANCIRANJA</t>
  </si>
  <si>
    <t>UKUPAN DONOS VIŠKA / MANJKA IZ PRETHODNE(IH) GODINE***</t>
  </si>
  <si>
    <t>EUR/KN*</t>
  </si>
  <si>
    <t>Plan za 2023.</t>
  </si>
  <si>
    <t>Prihodi od prodaje proizvedene dugotrajne imovine</t>
  </si>
  <si>
    <t>Pomoći iz inozemstva i od subjekata unutar općeg proračuna</t>
  </si>
  <si>
    <t>Prihodi iz nadležnog proračuna i od HZZO-a temeljem ugovornih obveza</t>
  </si>
  <si>
    <t>Ostale pomoći</t>
  </si>
  <si>
    <t>Ostali prihodi za posebne namjene</t>
  </si>
  <si>
    <t>Rashodi za nabavu proizvedene dugotrajne imovine</t>
  </si>
  <si>
    <t>C) PRENESENI VIŠAK ILI PRENESENI MANJAK I VIŠEGODIŠNJI PLAN URAVNOTEŽENJA</t>
  </si>
  <si>
    <t>Naziv</t>
  </si>
  <si>
    <t>PROGRAM 5000</t>
  </si>
  <si>
    <t>Aktivnost A5000 01</t>
  </si>
  <si>
    <t>NAZIV AKTIVNOSTI:Administrativno, tehničko i stručno osoblje</t>
  </si>
  <si>
    <t>NAZIV PROGRAMA:Promicanje kulture</t>
  </si>
  <si>
    <t>Plaće (Bruto)</t>
  </si>
  <si>
    <t>Ostali rashodi za zaposlene</t>
  </si>
  <si>
    <t>Regres</t>
  </si>
  <si>
    <t>Darovi djeci zaposlenika i nagrada</t>
  </si>
  <si>
    <t>Doprinosi na plaće</t>
  </si>
  <si>
    <t>Doprinos za zdravstveno osiguranje</t>
  </si>
  <si>
    <t>Naknade troškova zaposlenima</t>
  </si>
  <si>
    <t>Dnevnice za službeni put</t>
  </si>
  <si>
    <t>Ostali troškovi službenih putovanja</t>
  </si>
  <si>
    <t>Naknade za prijevoz</t>
  </si>
  <si>
    <t>Stručno usavršavanje zaposlenika</t>
  </si>
  <si>
    <t>Rashodi za materijal i energiju</t>
  </si>
  <si>
    <t>Materijal i sirovine</t>
  </si>
  <si>
    <t xml:space="preserve">Potrošak el.energije za zgradu </t>
  </si>
  <si>
    <t xml:space="preserve">Potrošak plina za zgradu </t>
  </si>
  <si>
    <t>Sitan inventar</t>
  </si>
  <si>
    <t>Rashodi za usluge</t>
  </si>
  <si>
    <t>Troškovi telefona i telefaksa,poštarina</t>
  </si>
  <si>
    <t>Usluge promidžbe i informiranja</t>
  </si>
  <si>
    <t xml:space="preserve">Potrošak vode u zgradi </t>
  </si>
  <si>
    <t xml:space="preserve">Odvoz smeća iz zgrade </t>
  </si>
  <si>
    <t>Računalne usluge</t>
  </si>
  <si>
    <t>Ostali nespomenuti rashodi poslovanja</t>
  </si>
  <si>
    <t>Osiguranje imovine(zgrada,izlošci..)</t>
  </si>
  <si>
    <t>Osiguranje zaposlenika od nezgode</t>
  </si>
  <si>
    <t>Reprezentacija</t>
  </si>
  <si>
    <t>Rashodi protokola</t>
  </si>
  <si>
    <t>Ostali nespomenuti izdaci</t>
  </si>
  <si>
    <t>Financijski  rashodi</t>
  </si>
  <si>
    <t>Ostali financijski rashodi</t>
  </si>
  <si>
    <t>Postrojenja i oprema</t>
  </si>
  <si>
    <t xml:space="preserve">Računala </t>
  </si>
  <si>
    <t>Ostala oprema</t>
  </si>
  <si>
    <t>Radio i tv prijemnici</t>
  </si>
  <si>
    <t>Oprema za ostale namjene</t>
  </si>
  <si>
    <t>Knjige, umjetnička djela i ostale izložbene vrijednosti</t>
  </si>
  <si>
    <t>Knjige</t>
  </si>
  <si>
    <t>Građevinski objekti</t>
  </si>
  <si>
    <t>Zgrade kulturnih institucija</t>
  </si>
  <si>
    <t>Kapitalni projekt K5000 01</t>
  </si>
  <si>
    <t>NAZIV KAPITALNOG PROJEKTA: Opremanje Gradske knjižnice i čitaonice Lipik</t>
  </si>
  <si>
    <t>Kapitalni projekt K5000 02</t>
  </si>
  <si>
    <t>NAZIV KAPITALNOG PROJEKTA: Opremanje Gradske knjižnice i čitaonice Lipik-odjel Poljana</t>
  </si>
  <si>
    <t>Izvor financiranja 11</t>
  </si>
  <si>
    <t>Izvor financiranja 52</t>
  </si>
  <si>
    <t>Naziv izvora financiranja:Ostale pomoći</t>
  </si>
  <si>
    <t>Naziv izvora financiranja:Opći prihodi i primitci</t>
  </si>
  <si>
    <t>Naziv izvora financiranja:Prihodi za posebne namjene</t>
  </si>
  <si>
    <t>Plan za 2023.- kn</t>
  </si>
  <si>
    <t>Izvršenje 2021.- kn</t>
  </si>
  <si>
    <t>Zdravstvene i vet.usluge,laboratorijske usl.</t>
  </si>
  <si>
    <t>Ukupno rashodi</t>
  </si>
  <si>
    <t>Ukupno prihodi</t>
  </si>
  <si>
    <t>Razlika</t>
  </si>
  <si>
    <t>Plan 2022.- kn</t>
  </si>
  <si>
    <t>08 Rekreacija,kultura i religija</t>
  </si>
  <si>
    <t>082 Službe kulture</t>
  </si>
  <si>
    <t>PRIHODI OD PRODAJE NEFINANCIJSKE IMOVINE - KN</t>
  </si>
  <si>
    <t>PRIHODI POSLOVANJA - KN</t>
  </si>
  <si>
    <t>PRIHODI UKUPNO - KN</t>
  </si>
  <si>
    <t>RASHODI UKUPNO - KN</t>
  </si>
  <si>
    <t>RASHODI  POSLOVANJA - KN</t>
  </si>
  <si>
    <t>RASHODI ZA NABAVU NEFINANCIJSKE IMOVINE - KN</t>
  </si>
  <si>
    <t>RAZLIKA - VIŠAK / MANJAK - KN</t>
  </si>
  <si>
    <t>Ravnateljica:</t>
  </si>
  <si>
    <t>Jasna Molnar- Kukić</t>
  </si>
  <si>
    <t>Povećanje/   smanjenje</t>
  </si>
  <si>
    <t>Javnobilježničke pristojbe</t>
  </si>
  <si>
    <t xml:space="preserve">Rashodi za dodatna ulag.na nefin.imovini </t>
  </si>
  <si>
    <t>Dodatna ulaganja na građevinskim objektima</t>
  </si>
  <si>
    <t>Povećanje / smanjenje</t>
  </si>
  <si>
    <t xml:space="preserve">Rashodi za dodatna ulaganja na nefinancijskoj imovini </t>
  </si>
  <si>
    <t>Izvršenje 2022.**</t>
  </si>
  <si>
    <t>Plan 2023.**</t>
  </si>
  <si>
    <t>Projekcija 
za 2025.</t>
  </si>
  <si>
    <t>Projekcija 
za 2026.</t>
  </si>
  <si>
    <t>Izvršenje 2022.</t>
  </si>
  <si>
    <t>Plan za 2023.-stari</t>
  </si>
  <si>
    <t>Plan 2023.</t>
  </si>
  <si>
    <t>Uredska oprema i namještaj</t>
  </si>
  <si>
    <t xml:space="preserve">PRIHODI UKUPNO </t>
  </si>
  <si>
    <t xml:space="preserve">PRIHODI POSLOVANJA </t>
  </si>
  <si>
    <t xml:space="preserve">PRIHODI OD PRODAJE NEFINANCIJSKE IMOVINE </t>
  </si>
  <si>
    <t xml:space="preserve">RASHODI UKUPNO </t>
  </si>
  <si>
    <t xml:space="preserve">RASHODI  POSLOVANJA </t>
  </si>
  <si>
    <t xml:space="preserve">RASHODI ZA NABAVU NEFINANCIJSKE IMOVINE </t>
  </si>
  <si>
    <t xml:space="preserve">RAZLIKA - VIŠAK / MANJAK </t>
  </si>
  <si>
    <t xml:space="preserve">1. IZMJENE I DOPUNE FINANCIJSKOG PLANA GRADSKE KNJIŽNICE I ČITAONICE LIPIK
ZA 2025. </t>
  </si>
  <si>
    <t>Plan za 2025.</t>
  </si>
  <si>
    <t>Novi plan 2025.</t>
  </si>
  <si>
    <t>1. IZMENE I DOPUNE FINANCIJSKOG PLANA GRADSKE KNJIŽNICE I ČITAONICE LIPIK
ZA 2025. GODINU</t>
  </si>
  <si>
    <t>1. IZMJENE I DOPUNE FINANCIJSKOG PLANA GRADSKE KNJIŽNICE I ČITAONICE LIPIK
ZA 2025. GODINU</t>
  </si>
  <si>
    <t xml:space="preserve">1. IZMJENE I DOPUNE FINANCIJSKOG PLANA GRADSKE KNJIŽNICE I ČITAONICE LIPIK
ZA 2025. GODINU
</t>
  </si>
  <si>
    <t>Ostale usluge</t>
  </si>
  <si>
    <t>Naziv izvora financiranja:Ostali prihodi za posebne namjene</t>
  </si>
  <si>
    <t>Izvor financiranja 5.2.2.</t>
  </si>
  <si>
    <t>Izvor financiranja 4.4.</t>
  </si>
  <si>
    <t xml:space="preserve">Bankarske usluge </t>
  </si>
  <si>
    <t>Zatezne kamate</t>
  </si>
  <si>
    <t>Usluge telefona, pošte i prijevoza</t>
  </si>
  <si>
    <t>Bankarske usluge i usluge platnog prometa</t>
  </si>
  <si>
    <t xml:space="preserve">Plaće za redovon rad </t>
  </si>
  <si>
    <t>Naknade za prijevoz, za rad na terenu i odvojeni život</t>
  </si>
  <si>
    <t>Izvor financiranja 1.1.</t>
  </si>
  <si>
    <t>Uredski materijal i ostali materijalni rashodi</t>
  </si>
  <si>
    <t>Usluge tekućeg i investicijskog održavanja</t>
  </si>
  <si>
    <t>Intelektualne i osobne usluge</t>
  </si>
  <si>
    <t>Razdjel 003</t>
  </si>
  <si>
    <t>JEDINSTVENI UPRAVNI ODJEL</t>
  </si>
  <si>
    <t>Glava 00303</t>
  </si>
  <si>
    <t>GRADSKA KNJIŽNICA I ČITAONICA LIPIK</t>
  </si>
  <si>
    <t>Proračunski korisnik 48111</t>
  </si>
  <si>
    <t>1.1.</t>
  </si>
  <si>
    <t>4.4.</t>
  </si>
  <si>
    <t>5.2.2.</t>
  </si>
  <si>
    <t>Ostali nespomenuti prohodi</t>
  </si>
  <si>
    <t>Lipik, 19.12.2025.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</si>
</sst>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i/>
      <sz val="10"/>
      <color indexed="8"/>
      <name val="Arial"/>
      <family val="2"/>
      <charset val="238"/>
    </font>
    <font>
      <b/>
      <sz val="10"/>
      <color rgb="FF085CB8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b/>
      <sz val="10"/>
      <color rgb="FFFF0000"/>
      <name val="Arial"/>
      <family val="2"/>
      <charset val="238"/>
    </font>
    <font>
      <sz val="10"/>
      <color rgb="FF085CB8"/>
      <name val="Arial"/>
      <family val="2"/>
      <charset val="238"/>
    </font>
    <font>
      <sz val="11"/>
      <name val="Calibri"/>
      <family val="2"/>
      <charset val="238"/>
      <scheme val="minor"/>
    </font>
    <font>
      <sz val="11"/>
      <color rgb="FF085CB8"/>
      <name val="Calibri"/>
      <family val="2"/>
      <charset val="238"/>
      <scheme val="minor"/>
    </font>
    <font>
      <b/>
      <i/>
      <sz val="10"/>
      <color theme="1"/>
      <name val="Arial"/>
      <family val="2"/>
      <charset val="238"/>
    </font>
    <font>
      <b/>
      <i/>
      <sz val="10"/>
      <color indexed="8"/>
      <name val="Arial"/>
      <family val="2"/>
      <charset val="238"/>
    </font>
    <font>
      <b/>
      <i/>
      <sz val="10"/>
      <name val="Arial"/>
      <family val="2"/>
      <charset val="238"/>
    </font>
    <font>
      <b/>
      <sz val="1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8">
    <xf numFmtId="0" fontId="0" fillId="0" borderId="0" xfId="0"/>
    <xf numFmtId="0" fontId="2" fillId="0" borderId="0" xfId="0" applyFont="1" applyAlignment="1">
      <alignment horizontal="left" wrapText="1"/>
    </xf>
    <xf numFmtId="0" fontId="4" fillId="0" borderId="0" xfId="0" applyFont="1" applyAlignment="1">
      <alignment wrapText="1"/>
    </xf>
    <xf numFmtId="0" fontId="3" fillId="0" borderId="0" xfId="0" applyFont="1"/>
    <xf numFmtId="0" fontId="6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3" fontId="3" fillId="2" borderId="4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>
      <alignment horizontal="right" wrapText="1"/>
    </xf>
    <xf numFmtId="0" fontId="11" fillId="2" borderId="3" xfId="0" applyFont="1" applyFill="1" applyBorder="1" applyAlignment="1">
      <alignment horizontal="left" vertical="center" wrapText="1"/>
    </xf>
    <xf numFmtId="0" fontId="9" fillId="2" borderId="3" xfId="0" quotePrefix="1" applyFont="1" applyFill="1" applyBorder="1" applyAlignment="1">
      <alignment horizontal="left" vertical="center"/>
    </xf>
    <xf numFmtId="0" fontId="10" fillId="2" borderId="3" xfId="0" quotePrefix="1" applyFont="1" applyFill="1" applyBorder="1" applyAlignment="1">
      <alignment horizontal="left" vertical="center"/>
    </xf>
    <xf numFmtId="0" fontId="11" fillId="2" borderId="3" xfId="0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left" vertical="center"/>
    </xf>
    <xf numFmtId="0" fontId="10" fillId="2" borderId="3" xfId="0" quotePrefix="1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7" fillId="0" borderId="0" xfId="0" quotePrefix="1" applyFont="1" applyAlignment="1">
      <alignment horizontal="left" wrapText="1"/>
    </xf>
    <xf numFmtId="0" fontId="8" fillId="0" borderId="0" xfId="0" applyFont="1" applyAlignment="1">
      <alignment wrapText="1"/>
    </xf>
    <xf numFmtId="3" fontId="5" fillId="0" borderId="0" xfId="0" applyNumberFormat="1" applyFont="1" applyAlignment="1">
      <alignment horizontal="right"/>
    </xf>
    <xf numFmtId="0" fontId="6" fillId="4" borderId="4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 wrapText="1"/>
    </xf>
    <xf numFmtId="0" fontId="11" fillId="2" borderId="3" xfId="0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6" fillId="0" borderId="1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center" wrapText="1"/>
    </xf>
    <xf numFmtId="0" fontId="6" fillId="0" borderId="2" xfId="0" quotePrefix="1" applyFont="1" applyBorder="1" applyAlignment="1">
      <alignment horizontal="left"/>
    </xf>
    <xf numFmtId="3" fontId="6" fillId="3" borderId="3" xfId="0" applyNumberFormat="1" applyFont="1" applyFill="1" applyBorder="1" applyAlignment="1">
      <alignment horizontal="right"/>
    </xf>
    <xf numFmtId="3" fontId="6" fillId="0" borderId="3" xfId="0" applyNumberFormat="1" applyFont="1" applyBorder="1" applyAlignment="1">
      <alignment horizontal="right"/>
    </xf>
    <xf numFmtId="3" fontId="6" fillId="0" borderId="3" xfId="0" applyNumberFormat="1" applyFont="1" applyBorder="1" applyAlignment="1">
      <alignment horizontal="right" wrapText="1"/>
    </xf>
    <xf numFmtId="3" fontId="6" fillId="3" borderId="3" xfId="0" applyNumberFormat="1" applyFont="1" applyFill="1" applyBorder="1" applyAlignment="1">
      <alignment horizontal="right" wrapText="1"/>
    </xf>
    <xf numFmtId="3" fontId="6" fillId="4" borderId="1" xfId="0" quotePrefix="1" applyNumberFormat="1" applyFont="1" applyFill="1" applyBorder="1" applyAlignment="1">
      <alignment horizontal="right"/>
    </xf>
    <xf numFmtId="3" fontId="6" fillId="4" borderId="3" xfId="0" applyNumberFormat="1" applyFont="1" applyFill="1" applyBorder="1" applyAlignment="1">
      <alignment horizontal="right" wrapText="1"/>
    </xf>
    <xf numFmtId="3" fontId="6" fillId="3" borderId="1" xfId="0" quotePrefix="1" applyNumberFormat="1" applyFont="1" applyFill="1" applyBorder="1" applyAlignment="1">
      <alignment horizontal="right"/>
    </xf>
    <xf numFmtId="0" fontId="14" fillId="0" borderId="5" xfId="0" applyFont="1" applyBorder="1" applyAlignment="1">
      <alignment horizontal="right" vertical="center"/>
    </xf>
    <xf numFmtId="0" fontId="6" fillId="0" borderId="3" xfId="0" applyFont="1" applyBorder="1" applyAlignment="1">
      <alignment wrapText="1"/>
    </xf>
    <xf numFmtId="49" fontId="9" fillId="0" borderId="3" xfId="0" applyNumberFormat="1" applyFont="1" applyBorder="1" applyAlignment="1">
      <alignment horizontal="left" wrapText="1"/>
    </xf>
    <xf numFmtId="0" fontId="9" fillId="0" borderId="3" xfId="0" applyFont="1" applyBorder="1" applyAlignment="1">
      <alignment wrapText="1"/>
    </xf>
    <xf numFmtId="0" fontId="16" fillId="0" borderId="3" xfId="0" applyFont="1" applyBorder="1" applyAlignment="1">
      <alignment wrapText="1"/>
    </xf>
    <xf numFmtId="4" fontId="6" fillId="0" borderId="3" xfId="0" applyNumberFormat="1" applyFont="1" applyBorder="1" applyAlignment="1">
      <alignment horizontal="right" wrapText="1"/>
    </xf>
    <xf numFmtId="4" fontId="3" fillId="2" borderId="4" xfId="0" applyNumberFormat="1" applyFont="1" applyFill="1" applyBorder="1" applyAlignment="1">
      <alignment horizontal="right"/>
    </xf>
    <xf numFmtId="4" fontId="16" fillId="0" borderId="4" xfId="0" applyNumberFormat="1" applyFont="1" applyBorder="1" applyAlignment="1">
      <alignment horizontal="right" wrapText="1"/>
    </xf>
    <xf numFmtId="4" fontId="9" fillId="0" borderId="4" xfId="0" applyNumberFormat="1" applyFont="1" applyBorder="1" applyAlignment="1">
      <alignment horizontal="right" wrapText="1"/>
    </xf>
    <xf numFmtId="4" fontId="16" fillId="5" borderId="4" xfId="0" applyNumberFormat="1" applyFont="1" applyFill="1" applyBorder="1" applyAlignment="1">
      <alignment horizontal="right" wrapText="1"/>
    </xf>
    <xf numFmtId="4" fontId="16" fillId="0" borderId="3" xfId="0" applyNumberFormat="1" applyFont="1" applyBorder="1" applyAlignment="1">
      <alignment horizontal="right" wrapText="1"/>
    </xf>
    <xf numFmtId="4" fontId="9" fillId="0" borderId="3" xfId="0" applyNumberFormat="1" applyFont="1" applyBorder="1" applyAlignment="1">
      <alignment horizontal="right" wrapText="1"/>
    </xf>
    <xf numFmtId="4" fontId="3" fillId="2" borderId="6" xfId="0" applyNumberFormat="1" applyFont="1" applyFill="1" applyBorder="1" applyAlignment="1">
      <alignment horizontal="right"/>
    </xf>
    <xf numFmtId="49" fontId="9" fillId="4" borderId="3" xfId="0" applyNumberFormat="1" applyFont="1" applyFill="1" applyBorder="1" applyAlignment="1">
      <alignment horizontal="left" wrapText="1"/>
    </xf>
    <xf numFmtId="4" fontId="16" fillId="2" borderId="4" xfId="0" applyNumberFormat="1" applyFont="1" applyFill="1" applyBorder="1" applyAlignment="1">
      <alignment horizontal="right"/>
    </xf>
    <xf numFmtId="3" fontId="0" fillId="0" borderId="0" xfId="0" applyNumberFormat="1"/>
    <xf numFmtId="3" fontId="16" fillId="0" borderId="4" xfId="0" applyNumberFormat="1" applyFont="1" applyBorder="1" applyAlignment="1">
      <alignment horizontal="right" wrapText="1"/>
    </xf>
    <xf numFmtId="3" fontId="16" fillId="0" borderId="3" xfId="0" applyNumberFormat="1" applyFont="1" applyBorder="1" applyAlignment="1">
      <alignment horizontal="right" wrapText="1"/>
    </xf>
    <xf numFmtId="3" fontId="3" fillId="0" borderId="0" xfId="0" applyNumberFormat="1" applyFont="1" applyAlignment="1">
      <alignment vertical="center" wrapText="1"/>
    </xf>
    <xf numFmtId="4" fontId="9" fillId="0" borderId="4" xfId="0" applyNumberFormat="1" applyFont="1" applyBorder="1" applyAlignment="1">
      <alignment horizontal="right"/>
    </xf>
    <xf numFmtId="3" fontId="3" fillId="0" borderId="4" xfId="0" applyNumberFormat="1" applyFont="1" applyBorder="1" applyAlignment="1">
      <alignment horizontal="right"/>
    </xf>
    <xf numFmtId="3" fontId="3" fillId="0" borderId="3" xfId="0" applyNumberFormat="1" applyFont="1" applyBorder="1" applyAlignment="1">
      <alignment horizontal="right"/>
    </xf>
    <xf numFmtId="3" fontId="3" fillId="0" borderId="3" xfId="0" applyNumberFormat="1" applyFont="1" applyBorder="1" applyAlignment="1">
      <alignment horizontal="right" wrapText="1"/>
    </xf>
    <xf numFmtId="3" fontId="9" fillId="2" borderId="4" xfId="0" applyNumberFormat="1" applyFont="1" applyFill="1" applyBorder="1" applyAlignment="1">
      <alignment horizontal="right"/>
    </xf>
    <xf numFmtId="3" fontId="9" fillId="2" borderId="3" xfId="0" applyNumberFormat="1" applyFont="1" applyFill="1" applyBorder="1" applyAlignment="1">
      <alignment horizontal="right"/>
    </xf>
    <xf numFmtId="3" fontId="9" fillId="2" borderId="3" xfId="0" applyNumberFormat="1" applyFont="1" applyFill="1" applyBorder="1" applyAlignment="1">
      <alignment horizontal="right" wrapText="1"/>
    </xf>
    <xf numFmtId="4" fontId="6" fillId="3" borderId="3" xfId="0" applyNumberFormat="1" applyFont="1" applyFill="1" applyBorder="1" applyAlignment="1">
      <alignment horizontal="right"/>
    </xf>
    <xf numFmtId="0" fontId="5" fillId="0" borderId="0" xfId="0" applyFont="1" applyAlignment="1">
      <alignment vertical="center" wrapText="1"/>
    </xf>
    <xf numFmtId="0" fontId="11" fillId="0" borderId="3" xfId="0" applyFont="1" applyBorder="1" applyAlignment="1">
      <alignment horizontal="left" vertical="center" wrapText="1"/>
    </xf>
    <xf numFmtId="4" fontId="3" fillId="0" borderId="4" xfId="0" applyNumberFormat="1" applyFont="1" applyBorder="1" applyAlignment="1">
      <alignment horizontal="right"/>
    </xf>
    <xf numFmtId="0" fontId="9" fillId="0" borderId="3" xfId="0" applyFont="1" applyBorder="1" applyAlignment="1">
      <alignment horizontal="left" vertical="center" wrapText="1"/>
    </xf>
    <xf numFmtId="0" fontId="9" fillId="0" borderId="3" xfId="0" quotePrefix="1" applyFont="1" applyBorder="1" applyAlignment="1">
      <alignment horizontal="left" vertical="center"/>
    </xf>
    <xf numFmtId="0" fontId="10" fillId="0" borderId="3" xfId="0" quotePrefix="1" applyFont="1" applyBorder="1" applyAlignment="1">
      <alignment horizontal="left" vertical="center"/>
    </xf>
    <xf numFmtId="4" fontId="3" fillId="0" borderId="3" xfId="0" applyNumberFormat="1" applyFont="1" applyBorder="1" applyAlignment="1">
      <alignment horizontal="right"/>
    </xf>
    <xf numFmtId="0" fontId="11" fillId="0" borderId="3" xfId="0" quotePrefix="1" applyFont="1" applyBorder="1" applyAlignment="1">
      <alignment horizontal="left" vertical="center"/>
    </xf>
    <xf numFmtId="4" fontId="17" fillId="0" borderId="3" xfId="0" applyNumberFormat="1" applyFont="1" applyBorder="1"/>
    <xf numFmtId="3" fontId="17" fillId="0" borderId="3" xfId="0" applyNumberFormat="1" applyFont="1" applyBorder="1"/>
    <xf numFmtId="0" fontId="10" fillId="0" borderId="3" xfId="0" quotePrefix="1" applyFont="1" applyBorder="1" applyAlignment="1">
      <alignment horizontal="left" vertical="center" wrapText="1"/>
    </xf>
    <xf numFmtId="0" fontId="9" fillId="0" borderId="3" xfId="0" applyFont="1" applyBorder="1" applyAlignment="1">
      <alignment vertical="center" wrapText="1"/>
    </xf>
    <xf numFmtId="0" fontId="0" fillId="0" borderId="3" xfId="0" applyBorder="1"/>
    <xf numFmtId="3" fontId="9" fillId="6" borderId="4" xfId="0" applyNumberFormat="1" applyFont="1" applyFill="1" applyBorder="1" applyAlignment="1">
      <alignment horizontal="right" wrapText="1"/>
    </xf>
    <xf numFmtId="4" fontId="3" fillId="6" borderId="4" xfId="0" applyNumberFormat="1" applyFont="1" applyFill="1" applyBorder="1" applyAlignment="1">
      <alignment horizontal="right" wrapText="1"/>
    </xf>
    <xf numFmtId="4" fontId="3" fillId="6" borderId="4" xfId="0" applyNumberFormat="1" applyFont="1" applyFill="1" applyBorder="1" applyAlignment="1">
      <alignment horizontal="right"/>
    </xf>
    <xf numFmtId="3" fontId="3" fillId="6" borderId="4" xfId="0" applyNumberFormat="1" applyFont="1" applyFill="1" applyBorder="1" applyAlignment="1">
      <alignment horizontal="right" wrapText="1"/>
    </xf>
    <xf numFmtId="3" fontId="3" fillId="6" borderId="4" xfId="0" applyNumberFormat="1" applyFont="1" applyFill="1" applyBorder="1" applyAlignment="1">
      <alignment horizontal="right"/>
    </xf>
    <xf numFmtId="4" fontId="3" fillId="6" borderId="4" xfId="0" applyNumberFormat="1" applyFont="1" applyFill="1" applyBorder="1" applyAlignment="1">
      <alignment horizontal="right" vertical="center" wrapText="1"/>
    </xf>
    <xf numFmtId="3" fontId="3" fillId="6" borderId="4" xfId="0" applyNumberFormat="1" applyFont="1" applyFill="1" applyBorder="1" applyAlignment="1">
      <alignment horizontal="right" vertical="center" wrapText="1"/>
    </xf>
    <xf numFmtId="4" fontId="6" fillId="0" borderId="4" xfId="0" applyNumberFormat="1" applyFont="1" applyBorder="1" applyAlignment="1">
      <alignment horizontal="right" wrapText="1"/>
    </xf>
    <xf numFmtId="3" fontId="6" fillId="0" borderId="4" xfId="0" applyNumberFormat="1" applyFont="1" applyBorder="1" applyAlignment="1">
      <alignment horizontal="right" wrapText="1"/>
    </xf>
    <xf numFmtId="4" fontId="6" fillId="0" borderId="4" xfId="0" applyNumberFormat="1" applyFont="1" applyBorder="1" applyAlignment="1">
      <alignment horizontal="right" vertical="center" wrapText="1"/>
    </xf>
    <xf numFmtId="3" fontId="6" fillId="0" borderId="4" xfId="0" applyNumberFormat="1" applyFont="1" applyBorder="1" applyAlignment="1">
      <alignment horizontal="right" vertical="center" wrapText="1"/>
    </xf>
    <xf numFmtId="4" fontId="11" fillId="7" borderId="4" xfId="0" applyNumberFormat="1" applyFont="1" applyFill="1" applyBorder="1" applyAlignment="1">
      <alignment horizontal="right" wrapText="1"/>
    </xf>
    <xf numFmtId="3" fontId="11" fillId="7" borderId="4" xfId="0" applyNumberFormat="1" applyFont="1" applyFill="1" applyBorder="1" applyAlignment="1">
      <alignment horizontal="right" wrapText="1"/>
    </xf>
    <xf numFmtId="4" fontId="6" fillId="7" borderId="4" xfId="0" applyNumberFormat="1" applyFont="1" applyFill="1" applyBorder="1" applyAlignment="1">
      <alignment horizontal="right" vertical="center" wrapText="1"/>
    </xf>
    <xf numFmtId="3" fontId="6" fillId="7" borderId="4" xfId="0" applyNumberFormat="1" applyFont="1" applyFill="1" applyBorder="1" applyAlignment="1">
      <alignment horizontal="right" vertical="center" wrapText="1"/>
    </xf>
    <xf numFmtId="0" fontId="6" fillId="7" borderId="3" xfId="0" applyFont="1" applyFill="1" applyBorder="1" applyAlignment="1">
      <alignment wrapText="1"/>
    </xf>
    <xf numFmtId="4" fontId="6" fillId="7" borderId="3" xfId="0" applyNumberFormat="1" applyFont="1" applyFill="1" applyBorder="1" applyAlignment="1">
      <alignment horizontal="right" wrapText="1"/>
    </xf>
    <xf numFmtId="3" fontId="6" fillId="7" borderId="3" xfId="0" applyNumberFormat="1" applyFont="1" applyFill="1" applyBorder="1" applyAlignment="1">
      <alignment horizontal="right" wrapText="1"/>
    </xf>
    <xf numFmtId="4" fontId="11" fillId="8" borderId="4" xfId="0" applyNumberFormat="1" applyFont="1" applyFill="1" applyBorder="1" applyAlignment="1">
      <alignment horizontal="right" wrapText="1"/>
    </xf>
    <xf numFmtId="3" fontId="11" fillId="8" borderId="4" xfId="0" applyNumberFormat="1" applyFont="1" applyFill="1" applyBorder="1" applyAlignment="1">
      <alignment horizontal="right" wrapText="1"/>
    </xf>
    <xf numFmtId="0" fontId="6" fillId="6" borderId="4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3" fontId="6" fillId="6" borderId="3" xfId="0" applyNumberFormat="1" applyFont="1" applyFill="1" applyBorder="1" applyAlignment="1">
      <alignment horizontal="center" vertical="center" wrapText="1"/>
    </xf>
    <xf numFmtId="0" fontId="17" fillId="0" borderId="0" xfId="0" applyFont="1"/>
    <xf numFmtId="3" fontId="3" fillId="3" borderId="3" xfId="0" applyNumberFormat="1" applyFont="1" applyFill="1" applyBorder="1" applyAlignment="1">
      <alignment horizontal="right"/>
    </xf>
    <xf numFmtId="3" fontId="16" fillId="5" borderId="4" xfId="0" applyNumberFormat="1" applyFont="1" applyFill="1" applyBorder="1" applyAlignment="1">
      <alignment horizontal="right"/>
    </xf>
    <xf numFmtId="0" fontId="11" fillId="0" borderId="3" xfId="0" applyFont="1" applyBorder="1" applyAlignment="1">
      <alignment wrapText="1"/>
    </xf>
    <xf numFmtId="3" fontId="16" fillId="2" borderId="4" xfId="0" applyNumberFormat="1" applyFont="1" applyFill="1" applyBorder="1" applyAlignment="1">
      <alignment horizontal="right"/>
    </xf>
    <xf numFmtId="3" fontId="6" fillId="2" borderId="4" xfId="0" applyNumberFormat="1" applyFont="1" applyFill="1" applyBorder="1" applyAlignment="1">
      <alignment horizontal="right"/>
    </xf>
    <xf numFmtId="3" fontId="11" fillId="2" borderId="3" xfId="0" applyNumberFormat="1" applyFont="1" applyFill="1" applyBorder="1" applyAlignment="1">
      <alignment horizontal="right"/>
    </xf>
    <xf numFmtId="3" fontId="11" fillId="2" borderId="3" xfId="0" applyNumberFormat="1" applyFont="1" applyFill="1" applyBorder="1" applyAlignment="1">
      <alignment horizontal="right" wrapText="1"/>
    </xf>
    <xf numFmtId="3" fontId="16" fillId="2" borderId="3" xfId="0" applyNumberFormat="1" applyFont="1" applyFill="1" applyBorder="1" applyAlignment="1">
      <alignment horizontal="right"/>
    </xf>
    <xf numFmtId="3" fontId="16" fillId="2" borderId="3" xfId="0" applyNumberFormat="1" applyFont="1" applyFill="1" applyBorder="1" applyAlignment="1">
      <alignment horizontal="right" wrapText="1"/>
    </xf>
    <xf numFmtId="3" fontId="6" fillId="4" borderId="3" xfId="0" applyNumberFormat="1" applyFont="1" applyFill="1" applyBorder="1" applyAlignment="1">
      <alignment horizontal="center" vertical="center" wrapText="1"/>
    </xf>
    <xf numFmtId="0" fontId="18" fillId="0" borderId="3" xfId="0" applyFont="1" applyBorder="1" applyAlignment="1">
      <alignment horizontal="left"/>
    </xf>
    <xf numFmtId="0" fontId="15" fillId="6" borderId="4" xfId="0" applyFont="1" applyFill="1" applyBorder="1" applyAlignment="1">
      <alignment horizontal="left" vertical="center" wrapText="1"/>
    </xf>
    <xf numFmtId="0" fontId="6" fillId="7" borderId="4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1" fontId="9" fillId="0" borderId="3" xfId="0" applyNumberFormat="1" applyFont="1" applyBorder="1" applyAlignment="1">
      <alignment horizontal="left"/>
    </xf>
    <xf numFmtId="0" fontId="6" fillId="8" borderId="4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3" fontId="6" fillId="0" borderId="0" xfId="0" applyNumberFormat="1" applyFont="1" applyAlignment="1">
      <alignment horizontal="center" vertical="center" wrapText="1"/>
    </xf>
    <xf numFmtId="3" fontId="17" fillId="0" borderId="0" xfId="0" applyNumberFormat="1" applyFont="1"/>
    <xf numFmtId="0" fontId="17" fillId="4" borderId="3" xfId="0" applyFont="1" applyFill="1" applyBorder="1"/>
    <xf numFmtId="4" fontId="18" fillId="4" borderId="3" xfId="0" applyNumberFormat="1" applyFont="1" applyFill="1" applyBorder="1"/>
    <xf numFmtId="3" fontId="18" fillId="4" borderId="3" xfId="0" applyNumberFormat="1" applyFont="1" applyFill="1" applyBorder="1"/>
    <xf numFmtId="4" fontId="18" fillId="0" borderId="0" xfId="0" applyNumberFormat="1" applyFont="1"/>
    <xf numFmtId="3" fontId="18" fillId="0" borderId="0" xfId="0" applyNumberFormat="1" applyFont="1"/>
    <xf numFmtId="4" fontId="17" fillId="0" borderId="0" xfId="0" applyNumberFormat="1" applyFont="1"/>
    <xf numFmtId="0" fontId="11" fillId="4" borderId="3" xfId="0" applyFont="1" applyFill="1" applyBorder="1" applyAlignment="1">
      <alignment horizontal="center" vertical="center" wrapText="1"/>
    </xf>
    <xf numFmtId="0" fontId="11" fillId="6" borderId="3" xfId="0" applyFont="1" applyFill="1" applyBorder="1" applyAlignment="1">
      <alignment horizontal="center" vertical="center" wrapText="1"/>
    </xf>
    <xf numFmtId="4" fontId="3" fillId="0" borderId="3" xfId="0" applyNumberFormat="1" applyFont="1" applyBorder="1" applyAlignment="1">
      <alignment horizontal="right" wrapText="1"/>
    </xf>
    <xf numFmtId="4" fontId="3" fillId="2" borderId="3" xfId="0" applyNumberFormat="1" applyFont="1" applyFill="1" applyBorder="1" applyAlignment="1">
      <alignment horizontal="right" wrapText="1"/>
    </xf>
    <xf numFmtId="4" fontId="11" fillId="2" borderId="3" xfId="0" applyNumberFormat="1" applyFont="1" applyFill="1" applyBorder="1" applyAlignment="1">
      <alignment horizontal="right" wrapText="1"/>
    </xf>
    <xf numFmtId="4" fontId="16" fillId="2" borderId="3" xfId="0" applyNumberFormat="1" applyFont="1" applyFill="1" applyBorder="1" applyAlignment="1">
      <alignment horizontal="right" wrapText="1"/>
    </xf>
    <xf numFmtId="4" fontId="3" fillId="3" borderId="3" xfId="0" applyNumberFormat="1" applyFont="1" applyFill="1" applyBorder="1" applyAlignment="1">
      <alignment horizontal="right"/>
    </xf>
    <xf numFmtId="4" fontId="6" fillId="0" borderId="3" xfId="0" applyNumberFormat="1" applyFont="1" applyBorder="1" applyAlignment="1">
      <alignment horizontal="right"/>
    </xf>
    <xf numFmtId="4" fontId="2" fillId="0" borderId="0" xfId="0" applyNumberFormat="1" applyFont="1" applyAlignment="1">
      <alignment horizontal="center" vertical="center" wrapText="1"/>
    </xf>
    <xf numFmtId="4" fontId="3" fillId="0" borderId="0" xfId="0" applyNumberFormat="1" applyFont="1" applyAlignment="1">
      <alignment vertical="center" wrapText="1"/>
    </xf>
    <xf numFmtId="4" fontId="6" fillId="4" borderId="3" xfId="0" applyNumberFormat="1" applyFont="1" applyFill="1" applyBorder="1" applyAlignment="1">
      <alignment horizontal="center" vertical="center" wrapText="1"/>
    </xf>
    <xf numFmtId="4" fontId="3" fillId="2" borderId="3" xfId="0" applyNumberFormat="1" applyFont="1" applyFill="1" applyBorder="1" applyAlignment="1">
      <alignment horizontal="right"/>
    </xf>
    <xf numFmtId="4" fontId="0" fillId="0" borderId="0" xfId="0" applyNumberFormat="1"/>
    <xf numFmtId="0" fontId="5" fillId="0" borderId="0" xfId="0" applyFont="1" applyAlignment="1">
      <alignment horizontal="center" vertical="center" wrapText="1"/>
    </xf>
    <xf numFmtId="3" fontId="6" fillId="0" borderId="3" xfId="0" applyNumberFormat="1" applyFont="1" applyBorder="1" applyAlignment="1">
      <alignment horizontal="center" vertical="center" wrapText="1"/>
    </xf>
    <xf numFmtId="3" fontId="6" fillId="4" borderId="3" xfId="0" quotePrefix="1" applyNumberFormat="1" applyFont="1" applyFill="1" applyBorder="1" applyAlignment="1">
      <alignment horizontal="right"/>
    </xf>
    <xf numFmtId="3" fontId="6" fillId="3" borderId="3" xfId="0" quotePrefix="1" applyNumberFormat="1" applyFont="1" applyFill="1" applyBorder="1" applyAlignment="1">
      <alignment horizontal="right"/>
    </xf>
    <xf numFmtId="3" fontId="9" fillId="0" borderId="4" xfId="0" applyNumberFormat="1" applyFont="1" applyBorder="1" applyAlignment="1">
      <alignment horizontal="right"/>
    </xf>
    <xf numFmtId="3" fontId="9" fillId="0" borderId="3" xfId="0" applyNumberFormat="1" applyFont="1" applyBorder="1" applyAlignment="1">
      <alignment horizontal="right"/>
    </xf>
    <xf numFmtId="3" fontId="9" fillId="0" borderId="3" xfId="0" applyNumberFormat="1" applyFont="1" applyBorder="1" applyAlignment="1">
      <alignment horizontal="right" wrapText="1"/>
    </xf>
    <xf numFmtId="3" fontId="9" fillId="0" borderId="3" xfId="0" applyNumberFormat="1" applyFont="1" applyBorder="1"/>
    <xf numFmtId="0" fontId="19" fillId="0" borderId="0" xfId="0" applyFont="1"/>
    <xf numFmtId="3" fontId="19" fillId="0" borderId="0" xfId="0" applyNumberFormat="1" applyFont="1"/>
    <xf numFmtId="3" fontId="20" fillId="0" borderId="0" xfId="0" applyNumberFormat="1" applyFont="1"/>
    <xf numFmtId="3" fontId="17" fillId="0" borderId="3" xfId="0" applyNumberFormat="1" applyFont="1" applyBorder="1" applyAlignment="1">
      <alignment horizontal="right" wrapText="1"/>
    </xf>
    <xf numFmtId="3" fontId="17" fillId="0" borderId="4" xfId="0" applyNumberFormat="1" applyFont="1" applyBorder="1" applyAlignment="1">
      <alignment horizontal="right"/>
    </xf>
    <xf numFmtId="3" fontId="18" fillId="0" borderId="4" xfId="0" applyNumberFormat="1" applyFont="1" applyBorder="1" applyAlignment="1">
      <alignment horizontal="right" wrapText="1"/>
    </xf>
    <xf numFmtId="3" fontId="18" fillId="0" borderId="4" xfId="0" applyNumberFormat="1" applyFont="1" applyBorder="1" applyAlignment="1">
      <alignment horizontal="right" vertical="center" wrapText="1"/>
    </xf>
    <xf numFmtId="3" fontId="17" fillId="6" borderId="4" xfId="0" applyNumberFormat="1" applyFont="1" applyFill="1" applyBorder="1" applyAlignment="1">
      <alignment horizontal="right" wrapText="1"/>
    </xf>
    <xf numFmtId="3" fontId="17" fillId="2" borderId="3" xfId="0" applyNumberFormat="1" applyFont="1" applyFill="1" applyBorder="1" applyAlignment="1">
      <alignment horizontal="right" wrapText="1"/>
    </xf>
    <xf numFmtId="3" fontId="18" fillId="2" borderId="3" xfId="0" applyNumberFormat="1" applyFont="1" applyFill="1" applyBorder="1" applyAlignment="1">
      <alignment horizontal="right" wrapText="1"/>
    </xf>
    <xf numFmtId="3" fontId="18" fillId="7" borderId="3" xfId="0" applyNumberFormat="1" applyFont="1" applyFill="1" applyBorder="1" applyAlignment="1">
      <alignment horizontal="right" wrapText="1"/>
    </xf>
    <xf numFmtId="3" fontId="17" fillId="6" borderId="4" xfId="0" applyNumberFormat="1" applyFont="1" applyFill="1" applyBorder="1" applyAlignment="1">
      <alignment horizontal="right" vertical="center" wrapText="1"/>
    </xf>
    <xf numFmtId="3" fontId="18" fillId="0" borderId="3" xfId="0" applyNumberFormat="1" applyFont="1" applyBorder="1" applyAlignment="1">
      <alignment horizontal="right" wrapText="1"/>
    </xf>
    <xf numFmtId="3" fontId="18" fillId="7" borderId="4" xfId="0" applyNumberFormat="1" applyFont="1" applyFill="1" applyBorder="1" applyAlignment="1">
      <alignment horizontal="right" vertical="center" wrapText="1"/>
    </xf>
    <xf numFmtId="0" fontId="18" fillId="6" borderId="3" xfId="0" applyFont="1" applyFill="1" applyBorder="1" applyAlignment="1">
      <alignment horizontal="center" vertical="center" wrapText="1"/>
    </xf>
    <xf numFmtId="3" fontId="18" fillId="8" borderId="4" xfId="0" applyNumberFormat="1" applyFont="1" applyFill="1" applyBorder="1" applyAlignment="1">
      <alignment horizontal="right" wrapText="1"/>
    </xf>
    <xf numFmtId="3" fontId="18" fillId="7" borderId="4" xfId="0" applyNumberFormat="1" applyFont="1" applyFill="1" applyBorder="1" applyAlignment="1">
      <alignment horizontal="right" wrapText="1"/>
    </xf>
    <xf numFmtId="0" fontId="6" fillId="4" borderId="4" xfId="0" applyFont="1" applyFill="1" applyBorder="1" applyAlignment="1">
      <alignment horizontal="left" vertical="center" wrapText="1"/>
    </xf>
    <xf numFmtId="3" fontId="21" fillId="7" borderId="3" xfId="0" applyNumberFormat="1" applyFont="1" applyFill="1" applyBorder="1" applyAlignment="1">
      <alignment horizontal="right" wrapText="1"/>
    </xf>
    <xf numFmtId="0" fontId="9" fillId="0" borderId="4" xfId="0" applyFont="1" applyBorder="1" applyAlignment="1">
      <alignment wrapText="1"/>
    </xf>
    <xf numFmtId="0" fontId="23" fillId="0" borderId="0" xfId="0" applyFont="1"/>
    <xf numFmtId="4" fontId="9" fillId="2" borderId="4" xfId="0" applyNumberFormat="1" applyFont="1" applyFill="1" applyBorder="1" applyAlignment="1">
      <alignment horizontal="right"/>
    </xf>
    <xf numFmtId="4" fontId="9" fillId="5" borderId="4" xfId="0" applyNumberFormat="1" applyFont="1" applyFill="1" applyBorder="1" applyAlignment="1">
      <alignment horizontal="right" wrapText="1"/>
    </xf>
    <xf numFmtId="3" fontId="9" fillId="5" borderId="4" xfId="0" applyNumberFormat="1" applyFont="1" applyFill="1" applyBorder="1" applyAlignment="1">
      <alignment horizontal="right"/>
    </xf>
    <xf numFmtId="3" fontId="9" fillId="0" borderId="4" xfId="0" applyNumberFormat="1" applyFont="1" applyBorder="1" applyAlignment="1">
      <alignment horizontal="right" wrapText="1"/>
    </xf>
    <xf numFmtId="3" fontId="9" fillId="0" borderId="4" xfId="0" applyNumberFormat="1" applyFont="1" applyBorder="1" applyAlignment="1">
      <alignment horizontal="right" vertical="center" wrapText="1"/>
    </xf>
    <xf numFmtId="0" fontId="1" fillId="0" borderId="0" xfId="0" applyFont="1"/>
    <xf numFmtId="4" fontId="22" fillId="0" borderId="4" xfId="0" applyNumberFormat="1" applyFont="1" applyBorder="1" applyAlignment="1">
      <alignment horizontal="right" wrapText="1"/>
    </xf>
    <xf numFmtId="3" fontId="22" fillId="0" borderId="4" xfId="0" applyNumberFormat="1" applyFont="1" applyBorder="1" applyAlignment="1">
      <alignment horizontal="right" wrapText="1"/>
    </xf>
    <xf numFmtId="3" fontId="17" fillId="0" borderId="4" xfId="0" applyNumberFormat="1" applyFont="1" applyBorder="1" applyAlignment="1">
      <alignment horizontal="right" wrapText="1"/>
    </xf>
    <xf numFmtId="4" fontId="22" fillId="2" borderId="4" xfId="0" applyNumberFormat="1" applyFont="1" applyFill="1" applyBorder="1" applyAlignment="1">
      <alignment horizontal="right"/>
    </xf>
    <xf numFmtId="3" fontId="9" fillId="6" borderId="4" xfId="0" applyNumberFormat="1" applyFont="1" applyFill="1" applyBorder="1" applyAlignment="1">
      <alignment horizontal="right" vertical="center" wrapText="1"/>
    </xf>
    <xf numFmtId="3" fontId="11" fillId="0" borderId="3" xfId="0" applyNumberFormat="1" applyFont="1" applyBorder="1" applyAlignment="1">
      <alignment horizontal="right" wrapText="1"/>
    </xf>
    <xf numFmtId="3" fontId="16" fillId="0" borderId="4" xfId="0" applyNumberFormat="1" applyFont="1" applyBorder="1" applyAlignment="1">
      <alignment horizontal="right" vertical="center" wrapText="1"/>
    </xf>
    <xf numFmtId="0" fontId="24" fillId="0" borderId="0" xfId="0" applyFont="1"/>
    <xf numFmtId="0" fontId="25" fillId="6" borderId="4" xfId="0" applyFont="1" applyFill="1" applyBorder="1" applyAlignment="1">
      <alignment horizontal="left" vertical="center" wrapText="1"/>
    </xf>
    <xf numFmtId="4" fontId="18" fillId="6" borderId="4" xfId="0" applyNumberFormat="1" applyFont="1" applyFill="1" applyBorder="1" applyAlignment="1">
      <alignment horizontal="right" wrapText="1"/>
    </xf>
    <xf numFmtId="4" fontId="18" fillId="6" borderId="4" xfId="0" applyNumberFormat="1" applyFont="1" applyFill="1" applyBorder="1" applyAlignment="1">
      <alignment horizontal="right"/>
    </xf>
    <xf numFmtId="4" fontId="18" fillId="6" borderId="3" xfId="0" applyNumberFormat="1" applyFont="1" applyFill="1" applyBorder="1" applyAlignment="1">
      <alignment horizontal="right"/>
    </xf>
    <xf numFmtId="3" fontId="18" fillId="6" borderId="3" xfId="0" applyNumberFormat="1" applyFont="1" applyFill="1" applyBorder="1" applyAlignment="1">
      <alignment horizontal="right"/>
    </xf>
    <xf numFmtId="3" fontId="1" fillId="0" borderId="0" xfId="0" applyNumberFormat="1" applyFont="1"/>
    <xf numFmtId="0" fontId="26" fillId="6" borderId="4" xfId="0" applyFont="1" applyFill="1" applyBorder="1" applyAlignment="1">
      <alignment horizontal="left" vertical="center" wrapText="1"/>
    </xf>
    <xf numFmtId="4" fontId="11" fillId="6" borderId="4" xfId="0" applyNumberFormat="1" applyFont="1" applyFill="1" applyBorder="1" applyAlignment="1">
      <alignment horizontal="right" wrapText="1"/>
    </xf>
    <xf numFmtId="3" fontId="11" fillId="6" borderId="4" xfId="0" applyNumberFormat="1" applyFont="1" applyFill="1" applyBorder="1" applyAlignment="1">
      <alignment horizontal="right" wrapText="1"/>
    </xf>
    <xf numFmtId="3" fontId="18" fillId="6" borderId="4" xfId="0" applyNumberFormat="1" applyFont="1" applyFill="1" applyBorder="1" applyAlignment="1">
      <alignment horizontal="right" wrapText="1"/>
    </xf>
    <xf numFmtId="0" fontId="27" fillId="6" borderId="4" xfId="0" applyFont="1" applyFill="1" applyBorder="1" applyAlignment="1">
      <alignment horizontal="left" vertical="center" wrapText="1"/>
    </xf>
    <xf numFmtId="4" fontId="11" fillId="6" borderId="4" xfId="0" applyNumberFormat="1" applyFont="1" applyFill="1" applyBorder="1" applyAlignment="1">
      <alignment horizontal="right"/>
    </xf>
    <xf numFmtId="4" fontId="11" fillId="6" borderId="3" xfId="0" applyNumberFormat="1" applyFont="1" applyFill="1" applyBorder="1" applyAlignment="1">
      <alignment horizontal="right"/>
    </xf>
    <xf numFmtId="3" fontId="11" fillId="6" borderId="3" xfId="0" applyNumberFormat="1" applyFont="1" applyFill="1" applyBorder="1" applyAlignment="1">
      <alignment horizontal="right"/>
    </xf>
    <xf numFmtId="4" fontId="6" fillId="6" borderId="4" xfId="0" applyNumberFormat="1" applyFont="1" applyFill="1" applyBorder="1" applyAlignment="1">
      <alignment horizontal="right" wrapText="1"/>
    </xf>
    <xf numFmtId="4" fontId="6" fillId="6" borderId="4" xfId="0" applyNumberFormat="1" applyFont="1" applyFill="1" applyBorder="1" applyAlignment="1">
      <alignment horizontal="right"/>
    </xf>
    <xf numFmtId="3" fontId="6" fillId="6" borderId="4" xfId="0" applyNumberFormat="1" applyFont="1" applyFill="1" applyBorder="1" applyAlignment="1">
      <alignment horizontal="right"/>
    </xf>
    <xf numFmtId="3" fontId="6" fillId="6" borderId="3" xfId="0" applyNumberFormat="1" applyFont="1" applyFill="1" applyBorder="1" applyAlignment="1">
      <alignment horizontal="right"/>
    </xf>
    <xf numFmtId="4" fontId="6" fillId="6" borderId="3" xfId="0" applyNumberFormat="1" applyFont="1" applyFill="1" applyBorder="1" applyAlignment="1">
      <alignment horizontal="right" wrapText="1"/>
    </xf>
    <xf numFmtId="3" fontId="6" fillId="6" borderId="3" xfId="0" applyNumberFormat="1" applyFont="1" applyFill="1" applyBorder="1" applyAlignment="1">
      <alignment horizontal="right" wrapText="1"/>
    </xf>
    <xf numFmtId="3" fontId="18" fillId="6" borderId="3" xfId="0" applyNumberFormat="1" applyFont="1" applyFill="1" applyBorder="1" applyAlignment="1">
      <alignment horizontal="right" wrapText="1"/>
    </xf>
    <xf numFmtId="3" fontId="6" fillId="6" borderId="4" xfId="0" applyNumberFormat="1" applyFont="1" applyFill="1" applyBorder="1" applyAlignment="1">
      <alignment horizontal="right" wrapText="1"/>
    </xf>
    <xf numFmtId="4" fontId="6" fillId="6" borderId="4" xfId="0" applyNumberFormat="1" applyFont="1" applyFill="1" applyBorder="1" applyAlignment="1">
      <alignment horizontal="right" vertical="center" wrapText="1"/>
    </xf>
    <xf numFmtId="3" fontId="6" fillId="6" borderId="4" xfId="0" applyNumberFormat="1" applyFont="1" applyFill="1" applyBorder="1" applyAlignment="1">
      <alignment horizontal="right" vertical="center" wrapText="1"/>
    </xf>
    <xf numFmtId="3" fontId="18" fillId="6" borderId="4" xfId="0" applyNumberFormat="1" applyFont="1" applyFill="1" applyBorder="1" applyAlignment="1">
      <alignment horizontal="right" vertical="center" wrapText="1"/>
    </xf>
    <xf numFmtId="3" fontId="17" fillId="0" borderId="4" xfId="0" applyNumberFormat="1" applyFont="1" applyBorder="1" applyAlignment="1">
      <alignment horizontal="right" vertical="center" wrapText="1"/>
    </xf>
    <xf numFmtId="3" fontId="22" fillId="0" borderId="4" xfId="0" applyNumberFormat="1" applyFont="1" applyBorder="1" applyAlignment="1">
      <alignment horizontal="right" vertical="center" wrapText="1"/>
    </xf>
    <xf numFmtId="3" fontId="19" fillId="7" borderId="3" xfId="0" applyNumberFormat="1" applyFont="1" applyFill="1" applyBorder="1" applyAlignment="1">
      <alignment horizontal="right" wrapText="1"/>
    </xf>
    <xf numFmtId="0" fontId="18" fillId="0" borderId="3" xfId="0" applyFont="1" applyBorder="1" applyAlignment="1">
      <alignment horizontal="left" vertical="center" wrapText="1"/>
    </xf>
    <xf numFmtId="4" fontId="18" fillId="0" borderId="4" xfId="0" applyNumberFormat="1" applyFont="1" applyBorder="1" applyAlignment="1">
      <alignment horizontal="right" vertical="center" wrapText="1"/>
    </xf>
    <xf numFmtId="0" fontId="18" fillId="0" borderId="4" xfId="0" applyFont="1" applyBorder="1" applyAlignment="1">
      <alignment horizontal="left" vertical="center" wrapText="1"/>
    </xf>
    <xf numFmtId="4" fontId="1" fillId="0" borderId="0" xfId="0" applyNumberFormat="1" applyFont="1"/>
    <xf numFmtId="4" fontId="11" fillId="4" borderId="4" xfId="0" applyNumberFormat="1" applyFont="1" applyFill="1" applyBorder="1" applyAlignment="1">
      <alignment horizontal="right" wrapText="1"/>
    </xf>
    <xf numFmtId="3" fontId="11" fillId="4" borderId="4" xfId="0" applyNumberFormat="1" applyFont="1" applyFill="1" applyBorder="1" applyAlignment="1">
      <alignment horizontal="right" wrapText="1"/>
    </xf>
    <xf numFmtId="3" fontId="18" fillId="4" borderId="4" xfId="0" applyNumberFormat="1" applyFont="1" applyFill="1" applyBorder="1" applyAlignment="1">
      <alignment horizontal="right" wrapText="1"/>
    </xf>
    <xf numFmtId="3" fontId="9" fillId="4" borderId="3" xfId="0" applyNumberFormat="1" applyFont="1" applyFill="1" applyBorder="1"/>
    <xf numFmtId="3" fontId="11" fillId="4" borderId="3" xfId="0" applyNumberFormat="1" applyFont="1" applyFill="1" applyBorder="1"/>
    <xf numFmtId="4" fontId="11" fillId="4" borderId="3" xfId="0" applyNumberFormat="1" applyFont="1" applyFill="1" applyBorder="1"/>
    <xf numFmtId="0" fontId="27" fillId="0" borderId="3" xfId="0" quotePrefix="1" applyFont="1" applyBorder="1" applyAlignment="1">
      <alignment horizontal="left" vertical="center"/>
    </xf>
    <xf numFmtId="4" fontId="11" fillId="0" borderId="4" xfId="0" applyNumberFormat="1" applyFont="1" applyBorder="1" applyAlignment="1">
      <alignment horizontal="right"/>
    </xf>
    <xf numFmtId="3" fontId="11" fillId="0" borderId="4" xfId="0" applyNumberFormat="1" applyFont="1" applyBorder="1" applyAlignment="1">
      <alignment horizontal="right"/>
    </xf>
    <xf numFmtId="0" fontId="28" fillId="0" borderId="0" xfId="0" applyFont="1"/>
    <xf numFmtId="4" fontId="6" fillId="0" borderId="4" xfId="0" applyNumberFormat="1" applyFont="1" applyBorder="1" applyAlignment="1">
      <alignment horizontal="right"/>
    </xf>
    <xf numFmtId="3" fontId="6" fillId="0" borderId="4" xfId="0" applyNumberFormat="1" applyFont="1" applyBorder="1" applyAlignment="1">
      <alignment horizontal="right"/>
    </xf>
    <xf numFmtId="0" fontId="9" fillId="0" borderId="3" xfId="0" quotePrefix="1" applyFont="1" applyBorder="1" applyAlignment="1">
      <alignment horizontal="left" vertical="center" wrapText="1"/>
    </xf>
    <xf numFmtId="2" fontId="0" fillId="0" borderId="0" xfId="0" applyNumberFormat="1"/>
    <xf numFmtId="0" fontId="1" fillId="0" borderId="3" xfId="0" applyFont="1" applyBorder="1"/>
    <xf numFmtId="3" fontId="18" fillId="0" borderId="3" xfId="0" applyNumberFormat="1" applyFont="1" applyBorder="1"/>
    <xf numFmtId="4" fontId="18" fillId="0" borderId="3" xfId="0" applyNumberFormat="1" applyFont="1" applyBorder="1"/>
    <xf numFmtId="3" fontId="11" fillId="0" borderId="3" xfId="0" applyNumberFormat="1" applyFont="1" applyBorder="1"/>
    <xf numFmtId="0" fontId="11" fillId="3" borderId="3" xfId="0" applyFont="1" applyFill="1" applyBorder="1" applyAlignment="1">
      <alignment horizontal="left" vertical="center" wrapText="1"/>
    </xf>
    <xf numFmtId="4" fontId="3" fillId="3" borderId="4" xfId="0" applyNumberFormat="1" applyFont="1" applyFill="1" applyBorder="1" applyAlignment="1">
      <alignment horizontal="right"/>
    </xf>
    <xf numFmtId="3" fontId="3" fillId="3" borderId="4" xfId="0" applyNumberFormat="1" applyFont="1" applyFill="1" applyBorder="1" applyAlignment="1">
      <alignment horizontal="right"/>
    </xf>
    <xf numFmtId="3" fontId="9" fillId="3" borderId="4" xfId="0" applyNumberFormat="1" applyFont="1" applyFill="1" applyBorder="1" applyAlignment="1">
      <alignment horizontal="right"/>
    </xf>
    <xf numFmtId="0" fontId="11" fillId="3" borderId="3" xfId="0" applyFont="1" applyFill="1" applyBorder="1" applyAlignment="1">
      <alignment horizontal="left" vertical="center"/>
    </xf>
    <xf numFmtId="0" fontId="11" fillId="3" borderId="3" xfId="0" applyFont="1" applyFill="1" applyBorder="1" applyAlignment="1">
      <alignment vertical="center" wrapText="1"/>
    </xf>
    <xf numFmtId="0" fontId="11" fillId="3" borderId="3" xfId="0" quotePrefix="1" applyFont="1" applyFill="1" applyBorder="1" applyAlignment="1">
      <alignment horizontal="left" vertical="center"/>
    </xf>
    <xf numFmtId="4" fontId="11" fillId="3" borderId="4" xfId="0" applyNumberFormat="1" applyFont="1" applyFill="1" applyBorder="1" applyAlignment="1">
      <alignment horizontal="right"/>
    </xf>
    <xf numFmtId="3" fontId="11" fillId="3" borderId="4" xfId="0" applyNumberFormat="1" applyFont="1" applyFill="1" applyBorder="1" applyAlignment="1">
      <alignment horizontal="right"/>
    </xf>
    <xf numFmtId="0" fontId="27" fillId="3" borderId="3" xfId="0" quotePrefix="1" applyFont="1" applyFill="1" applyBorder="1" applyAlignment="1">
      <alignment horizontal="left" vertical="center"/>
    </xf>
    <xf numFmtId="4" fontId="11" fillId="3" borderId="3" xfId="0" applyNumberFormat="1" applyFont="1" applyFill="1" applyBorder="1"/>
    <xf numFmtId="3" fontId="11" fillId="3" borderId="3" xfId="0" applyNumberFormat="1" applyFont="1" applyFill="1" applyBorder="1"/>
    <xf numFmtId="0" fontId="11" fillId="3" borderId="1" xfId="0" applyFont="1" applyFill="1" applyBorder="1" applyAlignment="1">
      <alignment horizontal="left" vertical="center"/>
    </xf>
    <xf numFmtId="0" fontId="11" fillId="3" borderId="2" xfId="0" applyFont="1" applyFill="1" applyBorder="1" applyAlignment="1">
      <alignment horizontal="left" vertical="center"/>
    </xf>
    <xf numFmtId="0" fontId="11" fillId="3" borderId="4" xfId="0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left" vertical="center" wrapText="1"/>
    </xf>
    <xf numFmtId="0" fontId="11" fillId="3" borderId="4" xfId="0" applyFont="1" applyFill="1" applyBorder="1" applyAlignment="1">
      <alignment horizontal="left" vertical="center" wrapText="1"/>
    </xf>
    <xf numFmtId="0" fontId="11" fillId="0" borderId="1" xfId="0" quotePrefix="1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/>
    </xf>
    <xf numFmtId="0" fontId="11" fillId="0" borderId="1" xfId="0" quotePrefix="1" applyFont="1" applyBorder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13" fillId="0" borderId="0" xfId="0" applyFont="1" applyAlignment="1">
      <alignment wrapText="1"/>
    </xf>
    <xf numFmtId="0" fontId="6" fillId="4" borderId="1" xfId="0" applyFont="1" applyFill="1" applyBorder="1" applyAlignment="1">
      <alignment horizontal="left" vertical="center" wrapText="1"/>
    </xf>
    <xf numFmtId="0" fontId="6" fillId="4" borderId="2" xfId="0" applyFont="1" applyFill="1" applyBorder="1" applyAlignment="1">
      <alignment horizontal="left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1" fillId="3" borderId="1" xfId="0" quotePrefix="1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vertical="center" wrapText="1"/>
    </xf>
    <xf numFmtId="0" fontId="12" fillId="0" borderId="0" xfId="0" applyFont="1" applyAlignment="1">
      <alignment vertical="center" wrapText="1"/>
    </xf>
    <xf numFmtId="0" fontId="5" fillId="0" borderId="0" xfId="0" applyFont="1" applyAlignment="1">
      <alignment horizontal="center" vertical="top" wrapText="1"/>
    </xf>
    <xf numFmtId="0" fontId="6" fillId="6" borderId="1" xfId="0" applyFont="1" applyFill="1" applyBorder="1" applyAlignment="1">
      <alignment horizontal="center" vertical="center" wrapText="1"/>
    </xf>
    <xf numFmtId="0" fontId="17" fillId="6" borderId="2" xfId="0" applyFont="1" applyFill="1" applyBorder="1" applyAlignment="1">
      <alignment horizontal="center" vertical="center" wrapText="1"/>
    </xf>
    <xf numFmtId="0" fontId="17" fillId="6" borderId="4" xfId="0" applyFont="1" applyFill="1" applyBorder="1" applyAlignment="1">
      <alignment horizontal="center" vertical="center" wrapText="1"/>
    </xf>
    <xf numFmtId="0" fontId="26" fillId="6" borderId="1" xfId="0" applyFont="1" applyFill="1" applyBorder="1" applyAlignment="1">
      <alignment horizontal="left" vertical="center" wrapText="1"/>
    </xf>
    <xf numFmtId="0" fontId="26" fillId="6" borderId="2" xfId="0" applyFont="1" applyFill="1" applyBorder="1" applyAlignment="1">
      <alignment horizontal="left" vertical="center" wrapText="1"/>
    </xf>
    <xf numFmtId="0" fontId="26" fillId="6" borderId="4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left"/>
    </xf>
    <xf numFmtId="0" fontId="11" fillId="0" borderId="2" xfId="0" applyFont="1" applyBorder="1" applyAlignment="1">
      <alignment horizontal="left"/>
    </xf>
    <xf numFmtId="0" fontId="11" fillId="0" borderId="4" xfId="0" applyFont="1" applyBorder="1" applyAlignment="1">
      <alignment horizontal="left"/>
    </xf>
    <xf numFmtId="0" fontId="16" fillId="0" borderId="1" xfId="0" applyFont="1" applyBorder="1" applyAlignment="1">
      <alignment horizontal="left"/>
    </xf>
    <xf numFmtId="0" fontId="16" fillId="0" borderId="2" xfId="0" applyFont="1" applyBorder="1" applyAlignment="1">
      <alignment horizontal="left"/>
    </xf>
    <xf numFmtId="0" fontId="16" fillId="0" borderId="4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9" fillId="0" borderId="2" xfId="0" applyFont="1" applyBorder="1" applyAlignment="1">
      <alignment horizontal="left"/>
    </xf>
    <xf numFmtId="0" fontId="9" fillId="0" borderId="4" xfId="0" applyFont="1" applyBorder="1" applyAlignment="1">
      <alignment horizontal="left"/>
    </xf>
    <xf numFmtId="0" fontId="6" fillId="8" borderId="1" xfId="0" applyFont="1" applyFill="1" applyBorder="1" applyAlignment="1">
      <alignment horizontal="left" vertical="center" wrapText="1"/>
    </xf>
    <xf numFmtId="0" fontId="6" fillId="8" borderId="2" xfId="0" applyFont="1" applyFill="1" applyBorder="1" applyAlignment="1">
      <alignment horizontal="left" vertical="center" wrapText="1"/>
    </xf>
    <xf numFmtId="0" fontId="6" fillId="8" borderId="4" xfId="0" applyFont="1" applyFill="1" applyBorder="1" applyAlignment="1">
      <alignment horizontal="left" vertical="center" wrapText="1"/>
    </xf>
    <xf numFmtId="0" fontId="6" fillId="7" borderId="1" xfId="0" applyFont="1" applyFill="1" applyBorder="1" applyAlignment="1">
      <alignment horizontal="left" vertical="center" wrapText="1"/>
    </xf>
    <xf numFmtId="0" fontId="6" fillId="7" borderId="2" xfId="0" applyFont="1" applyFill="1" applyBorder="1" applyAlignment="1">
      <alignment horizontal="left" vertical="center" wrapText="1"/>
    </xf>
    <xf numFmtId="0" fontId="6" fillId="7" borderId="4" xfId="0" applyFont="1" applyFill="1" applyBorder="1" applyAlignment="1">
      <alignment horizontal="left" vertical="center" wrapText="1"/>
    </xf>
    <xf numFmtId="0" fontId="27" fillId="6" borderId="1" xfId="0" applyFont="1" applyFill="1" applyBorder="1" applyAlignment="1">
      <alignment horizontal="left" vertical="center" wrapText="1"/>
    </xf>
    <xf numFmtId="0" fontId="27" fillId="6" borderId="2" xfId="0" applyFont="1" applyFill="1" applyBorder="1" applyAlignment="1">
      <alignment horizontal="left" vertical="center" wrapText="1"/>
    </xf>
    <xf numFmtId="0" fontId="27" fillId="6" borderId="4" xfId="0" applyFont="1" applyFill="1" applyBorder="1" applyAlignment="1">
      <alignment horizontal="left" vertical="center" wrapText="1"/>
    </xf>
    <xf numFmtId="1" fontId="9" fillId="0" borderId="1" xfId="0" applyNumberFormat="1" applyFont="1" applyBorder="1" applyAlignment="1">
      <alignment horizontal="left"/>
    </xf>
    <xf numFmtId="1" fontId="9" fillId="0" borderId="2" xfId="0" applyNumberFormat="1" applyFont="1" applyBorder="1" applyAlignment="1">
      <alignment horizontal="left"/>
    </xf>
    <xf numFmtId="1" fontId="9" fillId="0" borderId="4" xfId="0" applyNumberFormat="1" applyFont="1" applyBorder="1" applyAlignment="1">
      <alignment horizontal="left"/>
    </xf>
    <xf numFmtId="0" fontId="25" fillId="6" borderId="1" xfId="0" applyFont="1" applyFill="1" applyBorder="1" applyAlignment="1">
      <alignment horizontal="left" vertical="center" wrapText="1"/>
    </xf>
    <xf numFmtId="0" fontId="25" fillId="6" borderId="2" xfId="0" applyFont="1" applyFill="1" applyBorder="1" applyAlignment="1">
      <alignment horizontal="left" vertical="center" wrapText="1"/>
    </xf>
    <xf numFmtId="0" fontId="25" fillId="6" borderId="4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1" fontId="9" fillId="0" borderId="3" xfId="0" applyNumberFormat="1" applyFont="1" applyBorder="1" applyAlignment="1">
      <alignment horizontal="left"/>
    </xf>
    <xf numFmtId="0" fontId="16" fillId="0" borderId="3" xfId="0" applyFont="1" applyBorder="1" applyAlignment="1">
      <alignment horizontal="left"/>
    </xf>
    <xf numFmtId="0" fontId="9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15" fillId="6" borderId="1" xfId="0" applyFont="1" applyFill="1" applyBorder="1" applyAlignment="1">
      <alignment horizontal="left" vertical="center" wrapText="1"/>
    </xf>
    <xf numFmtId="0" fontId="15" fillId="6" borderId="2" xfId="0" applyFont="1" applyFill="1" applyBorder="1" applyAlignment="1">
      <alignment horizontal="left" vertical="center" wrapText="1"/>
    </xf>
    <xf numFmtId="0" fontId="15" fillId="6" borderId="4" xfId="0" applyFont="1" applyFill="1" applyBorder="1" applyAlignment="1">
      <alignment horizontal="left" vertical="center" wrapText="1"/>
    </xf>
    <xf numFmtId="0" fontId="11" fillId="7" borderId="3" xfId="0" applyFont="1" applyFill="1" applyBorder="1" applyAlignment="1">
      <alignment horizontal="center"/>
    </xf>
    <xf numFmtId="0" fontId="6" fillId="0" borderId="3" xfId="0" applyFont="1" applyBorder="1" applyAlignment="1">
      <alignment horizontal="left"/>
    </xf>
    <xf numFmtId="0" fontId="18" fillId="0" borderId="3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left" vertical="center" wrapText="1"/>
    </xf>
    <xf numFmtId="0" fontId="18" fillId="0" borderId="4" xfId="0" applyFont="1" applyBorder="1" applyAlignment="1">
      <alignment horizontal="left" vertical="center" wrapText="1"/>
    </xf>
    <xf numFmtId="0" fontId="9" fillId="0" borderId="0" xfId="0" applyFont="1"/>
    <xf numFmtId="3" fontId="23" fillId="0" borderId="0" xfId="0" applyNumberFormat="1" applyFont="1"/>
  </cellXfs>
  <cellStyles count="1">
    <cellStyle name="Normalno" xfId="0" builtinId="0"/>
  </cellStyles>
  <dxfs count="0"/>
  <tableStyles count="0" defaultTableStyle="TableStyleMedium2" defaultPivotStyle="PivotStyleLight16"/>
  <colors>
    <mruColors>
      <color rgb="FF085CB8"/>
      <color rgb="FFFFFFCC"/>
      <color rgb="FFF5E1FF"/>
      <color rgb="FFDCC5ED"/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0"/>
  <sheetViews>
    <sheetView topLeftCell="A4" workbookViewId="0">
      <selection activeCell="H26" sqref="H26"/>
    </sheetView>
  </sheetViews>
  <sheetFormatPr defaultRowHeight="15" x14ac:dyDescent="0.25"/>
  <cols>
    <col min="5" max="5" width="25.28515625" customWidth="1"/>
    <col min="6" max="7" width="25.28515625" hidden="1" customWidth="1"/>
    <col min="8" max="10" width="25.28515625" customWidth="1"/>
    <col min="11" max="12" width="25.28515625" hidden="1" customWidth="1"/>
  </cols>
  <sheetData>
    <row r="1" spans="1:12" ht="42" customHeight="1" x14ac:dyDescent="0.25">
      <c r="A1" s="259" t="s">
        <v>150</v>
      </c>
      <c r="B1" s="259"/>
      <c r="C1" s="259"/>
      <c r="D1" s="259"/>
      <c r="E1" s="259"/>
      <c r="F1" s="259"/>
      <c r="G1" s="259"/>
      <c r="H1" s="259"/>
      <c r="I1" s="259"/>
      <c r="J1" s="259"/>
      <c r="K1" s="143"/>
      <c r="L1" s="143"/>
    </row>
    <row r="2" spans="1:12" ht="18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2" ht="15.75" x14ac:dyDescent="0.25">
      <c r="A3" s="259" t="s">
        <v>34</v>
      </c>
      <c r="B3" s="259"/>
      <c r="C3" s="259"/>
      <c r="D3" s="259"/>
      <c r="E3" s="259"/>
      <c r="F3" s="259"/>
      <c r="G3" s="259"/>
      <c r="H3" s="259"/>
      <c r="I3" s="259"/>
      <c r="J3" s="259"/>
      <c r="K3" s="271"/>
      <c r="L3" s="271"/>
    </row>
    <row r="4" spans="1:12" ht="18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6"/>
      <c r="L4" s="6"/>
    </row>
    <row r="5" spans="1:12" ht="18" customHeight="1" x14ac:dyDescent="0.25">
      <c r="A5" s="259" t="s">
        <v>42</v>
      </c>
      <c r="B5" s="260"/>
      <c r="C5" s="260"/>
      <c r="D5" s="260"/>
      <c r="E5" s="260"/>
      <c r="F5" s="260"/>
      <c r="G5" s="260"/>
      <c r="H5" s="260"/>
      <c r="I5" s="260"/>
      <c r="J5" s="260"/>
      <c r="K5" s="260"/>
      <c r="L5" s="260"/>
    </row>
    <row r="6" spans="1:12" ht="18" x14ac:dyDescent="0.25">
      <c r="A6" s="1"/>
      <c r="B6" s="2"/>
      <c r="C6" s="2"/>
      <c r="D6" s="2"/>
      <c r="E6" s="7"/>
      <c r="F6" s="8"/>
      <c r="G6" s="8"/>
      <c r="H6" s="8"/>
      <c r="I6" s="8"/>
      <c r="J6" s="8"/>
      <c r="K6" s="8"/>
      <c r="L6" s="40" t="s">
        <v>45</v>
      </c>
    </row>
    <row r="7" spans="1:12" ht="25.5" x14ac:dyDescent="0.25">
      <c r="A7" s="29"/>
      <c r="B7" s="30"/>
      <c r="C7" s="30"/>
      <c r="D7" s="31"/>
      <c r="E7" s="32"/>
      <c r="F7" s="4" t="s">
        <v>131</v>
      </c>
      <c r="G7" s="4" t="s">
        <v>132</v>
      </c>
      <c r="H7" s="4" t="s">
        <v>147</v>
      </c>
      <c r="I7" s="144" t="s">
        <v>129</v>
      </c>
      <c r="J7" s="144" t="s">
        <v>148</v>
      </c>
      <c r="K7" s="4" t="s">
        <v>133</v>
      </c>
      <c r="L7" s="4" t="s">
        <v>134</v>
      </c>
    </row>
    <row r="8" spans="1:12" ht="14.45" customHeight="1" x14ac:dyDescent="0.25">
      <c r="A8" s="251" t="s">
        <v>139</v>
      </c>
      <c r="B8" s="252"/>
      <c r="C8" s="252"/>
      <c r="D8" s="252"/>
      <c r="E8" s="253"/>
      <c r="F8" s="66" t="e">
        <f>F10+F12</f>
        <v>#REF!</v>
      </c>
      <c r="G8" s="33" t="e">
        <f t="shared" ref="G8:L9" si="0">G10+G12</f>
        <v>#REF!</v>
      </c>
      <c r="H8" s="33">
        <f>H10+H12</f>
        <v>54150</v>
      </c>
      <c r="I8" s="33">
        <f t="shared" ref="I8:J8" si="1">I10+I12</f>
        <v>157375</v>
      </c>
      <c r="J8" s="33">
        <f t="shared" si="1"/>
        <v>211525</v>
      </c>
      <c r="K8" s="33" t="e">
        <f>K10+K12</f>
        <v>#REF!</v>
      </c>
      <c r="L8" s="33" t="e">
        <f>L10+L12</f>
        <v>#REF!</v>
      </c>
    </row>
    <row r="9" spans="1:12" ht="14.45" hidden="1" customHeight="1" x14ac:dyDescent="0.25">
      <c r="A9" s="251" t="s">
        <v>118</v>
      </c>
      <c r="B9" s="252"/>
      <c r="C9" s="252"/>
      <c r="D9" s="252"/>
      <c r="E9" s="253"/>
      <c r="F9" s="136">
        <f>F11+F13</f>
        <v>372871.22</v>
      </c>
      <c r="G9" s="104" t="e">
        <f t="shared" si="0"/>
        <v>#REF!</v>
      </c>
      <c r="H9" s="104">
        <f t="shared" si="0"/>
        <v>407993</v>
      </c>
      <c r="I9" s="104"/>
      <c r="J9" s="104"/>
      <c r="K9" s="104" t="e">
        <f t="shared" si="0"/>
        <v>#REF!</v>
      </c>
      <c r="L9" s="104" t="e">
        <f t="shared" si="0"/>
        <v>#REF!</v>
      </c>
    </row>
    <row r="10" spans="1:12" x14ac:dyDescent="0.25">
      <c r="A10" s="256" t="s">
        <v>140</v>
      </c>
      <c r="B10" s="255"/>
      <c r="C10" s="255"/>
      <c r="D10" s="255"/>
      <c r="E10" s="257"/>
      <c r="F10" s="137" t="e">
        <f>' Račun prihoda i rashoda'!K10</f>
        <v>#REF!</v>
      </c>
      <c r="G10" s="34" t="e">
        <f>' Račun prihoda i rashoda'!L10</f>
        <v>#REF!</v>
      </c>
      <c r="H10" s="34">
        <f>' Račun prihoda i rashoda'!M10</f>
        <v>54150</v>
      </c>
      <c r="I10" s="34">
        <f>' Račun prihoda i rashoda'!N10</f>
        <v>157375</v>
      </c>
      <c r="J10" s="34">
        <f>' Račun prihoda i rashoda'!O10</f>
        <v>211525</v>
      </c>
      <c r="K10" s="34" t="e">
        <f>' Račun prihoda i rashoda'!P10</f>
        <v>#REF!</v>
      </c>
      <c r="L10" s="34" t="e">
        <f>' Račun prihoda i rashoda'!Q10</f>
        <v>#REF!</v>
      </c>
    </row>
    <row r="11" spans="1:12" hidden="1" x14ac:dyDescent="0.25">
      <c r="A11" s="256" t="s">
        <v>117</v>
      </c>
      <c r="B11" s="255"/>
      <c r="C11" s="255"/>
      <c r="D11" s="255"/>
      <c r="E11" s="257"/>
      <c r="F11" s="73">
        <v>372871.22</v>
      </c>
      <c r="G11" s="61" t="e">
        <f>' Račun prihoda i rashoda'!G10</f>
        <v>#REF!</v>
      </c>
      <c r="H11" s="61">
        <f>H10*7.5345</f>
        <v>407993</v>
      </c>
      <c r="I11" s="61"/>
      <c r="J11" s="61"/>
      <c r="K11" s="61" t="e">
        <f t="shared" ref="K11:L11" si="2">K10*7.5345</f>
        <v>#REF!</v>
      </c>
      <c r="L11" s="61" t="e">
        <f t="shared" si="2"/>
        <v>#REF!</v>
      </c>
    </row>
    <row r="12" spans="1:12" x14ac:dyDescent="0.25">
      <c r="A12" s="258" t="s">
        <v>141</v>
      </c>
      <c r="B12" s="257"/>
      <c r="C12" s="257"/>
      <c r="D12" s="257"/>
      <c r="E12" s="257"/>
      <c r="F12" s="137">
        <f>' Račun prihoda i rashoda'!K19</f>
        <v>0</v>
      </c>
      <c r="G12" s="34">
        <f>' Račun prihoda i rashoda'!L19</f>
        <v>0</v>
      </c>
      <c r="H12" s="34">
        <f>' Račun prihoda i rashoda'!M19</f>
        <v>0</v>
      </c>
      <c r="I12" s="34">
        <f>' Račun prihoda i rashoda'!N19</f>
        <v>0</v>
      </c>
      <c r="J12" s="34">
        <f>' Račun prihoda i rashoda'!O19</f>
        <v>0</v>
      </c>
      <c r="K12" s="34">
        <f>' Račun prihoda i rashoda'!P19</f>
        <v>0</v>
      </c>
      <c r="L12" s="34">
        <f>' Račun prihoda i rashoda'!Q19</f>
        <v>0</v>
      </c>
    </row>
    <row r="13" spans="1:12" hidden="1" x14ac:dyDescent="0.25">
      <c r="A13" s="258" t="s">
        <v>116</v>
      </c>
      <c r="B13" s="257"/>
      <c r="C13" s="257"/>
      <c r="D13" s="257"/>
      <c r="E13" s="257"/>
      <c r="F13" s="73">
        <f>' Račun prihoda i rashoda'!E19</f>
        <v>0</v>
      </c>
      <c r="G13" s="61">
        <f>' Račun prihoda i rashoda'!G20</f>
        <v>0</v>
      </c>
      <c r="H13" s="61">
        <f>H12*7.5345</f>
        <v>0</v>
      </c>
      <c r="I13" s="61"/>
      <c r="J13" s="61"/>
      <c r="K13" s="61">
        <f t="shared" ref="K13:L13" si="3">K12*7.5345</f>
        <v>0</v>
      </c>
      <c r="L13" s="61">
        <f t="shared" si="3"/>
        <v>0</v>
      </c>
    </row>
    <row r="14" spans="1:12" x14ac:dyDescent="0.25">
      <c r="A14" s="248" t="s">
        <v>142</v>
      </c>
      <c r="B14" s="249"/>
      <c r="C14" s="249"/>
      <c r="D14" s="249"/>
      <c r="E14" s="250"/>
      <c r="F14" s="66" t="e">
        <f>F16+F18</f>
        <v>#REF!</v>
      </c>
      <c r="G14" s="33" t="e">
        <f t="shared" ref="G14" si="4">G16+G18</f>
        <v>#REF!</v>
      </c>
      <c r="H14" s="33">
        <f>H16+H18</f>
        <v>54150</v>
      </c>
      <c r="I14" s="33">
        <f t="shared" ref="I14:J14" si="5">I16+I18</f>
        <v>157375</v>
      </c>
      <c r="J14" s="33">
        <f t="shared" si="5"/>
        <v>211525</v>
      </c>
      <c r="K14" s="33" t="e">
        <f>K16+K18</f>
        <v>#REF!</v>
      </c>
      <c r="L14" s="33" t="e">
        <f>L16+L18</f>
        <v>#REF!</v>
      </c>
    </row>
    <row r="15" spans="1:12" hidden="1" x14ac:dyDescent="0.25">
      <c r="A15" s="248" t="s">
        <v>119</v>
      </c>
      <c r="B15" s="249"/>
      <c r="C15" s="249"/>
      <c r="D15" s="249"/>
      <c r="E15" s="250"/>
      <c r="F15" s="136">
        <f>F17+F19</f>
        <v>373022.47</v>
      </c>
      <c r="G15" s="104" t="e">
        <f>G17+G19</f>
        <v>#REF!</v>
      </c>
      <c r="H15" s="104">
        <f t="shared" ref="H15:L15" si="6">H17+H19</f>
        <v>407993</v>
      </c>
      <c r="I15" s="104"/>
      <c r="J15" s="104"/>
      <c r="K15" s="104" t="e">
        <f t="shared" si="6"/>
        <v>#REF!</v>
      </c>
      <c r="L15" s="104" t="e">
        <f t="shared" si="6"/>
        <v>#REF!</v>
      </c>
    </row>
    <row r="16" spans="1:12" x14ac:dyDescent="0.25">
      <c r="A16" s="254" t="s">
        <v>143</v>
      </c>
      <c r="B16" s="255"/>
      <c r="C16" s="255"/>
      <c r="D16" s="255"/>
      <c r="E16" s="255"/>
      <c r="F16" s="137" t="e">
        <f>' Račun prihoda i rashoda'!K26</f>
        <v>#REF!</v>
      </c>
      <c r="G16" s="34" t="e">
        <f>' Račun prihoda i rashoda'!L26</f>
        <v>#REF!</v>
      </c>
      <c r="H16" s="34">
        <f>' Račun prihoda i rashoda'!M26</f>
        <v>46150</v>
      </c>
      <c r="I16" s="34">
        <f>' Račun prihoda i rashoda'!N26</f>
        <v>-525</v>
      </c>
      <c r="J16" s="34">
        <f>' Račun prihoda i rashoda'!O26</f>
        <v>45625</v>
      </c>
      <c r="K16" s="34" t="e">
        <f>' Račun prihoda i rashoda'!P26</f>
        <v>#REF!</v>
      </c>
      <c r="L16" s="34" t="e">
        <f>' Račun prihoda i rashoda'!Q26</f>
        <v>#REF!</v>
      </c>
    </row>
    <row r="17" spans="1:12" hidden="1" x14ac:dyDescent="0.25">
      <c r="A17" s="254" t="s">
        <v>120</v>
      </c>
      <c r="B17" s="255"/>
      <c r="C17" s="255"/>
      <c r="D17" s="255"/>
      <c r="E17" s="255"/>
      <c r="F17" s="73">
        <v>341742.21</v>
      </c>
      <c r="G17" s="61" t="e">
        <f>' Račun prihoda i rashoda'!G26</f>
        <v>#REF!</v>
      </c>
      <c r="H17" s="61">
        <f>H16*7.5345</f>
        <v>347717</v>
      </c>
      <c r="I17" s="61"/>
      <c r="J17" s="61"/>
      <c r="K17" s="61" t="e">
        <f t="shared" ref="K17:L17" si="7">K16*7.5345</f>
        <v>#REF!</v>
      </c>
      <c r="L17" s="61" t="e">
        <f t="shared" si="7"/>
        <v>#REF!</v>
      </c>
    </row>
    <row r="18" spans="1:12" x14ac:dyDescent="0.25">
      <c r="A18" s="258" t="s">
        <v>144</v>
      </c>
      <c r="B18" s="257"/>
      <c r="C18" s="257"/>
      <c r="D18" s="257"/>
      <c r="E18" s="257"/>
      <c r="F18" s="137" t="e">
        <f>' Račun prihoda i rashoda'!K37</f>
        <v>#REF!</v>
      </c>
      <c r="G18" s="34" t="e">
        <f>' Račun prihoda i rashoda'!L37</f>
        <v>#REF!</v>
      </c>
      <c r="H18" s="34">
        <f>' Račun prihoda i rashoda'!M37</f>
        <v>8000</v>
      </c>
      <c r="I18" s="34">
        <f>' Račun prihoda i rashoda'!N37</f>
        <v>157900</v>
      </c>
      <c r="J18" s="34">
        <f>' Račun prihoda i rashoda'!O37</f>
        <v>165900</v>
      </c>
      <c r="K18" s="34" t="e">
        <f>' Račun prihoda i rashoda'!P37</f>
        <v>#REF!</v>
      </c>
      <c r="L18" s="34" t="e">
        <f>' Račun prihoda i rashoda'!Q37</f>
        <v>#REF!</v>
      </c>
    </row>
    <row r="19" spans="1:12" hidden="1" x14ac:dyDescent="0.25">
      <c r="A19" s="258" t="s">
        <v>121</v>
      </c>
      <c r="B19" s="257"/>
      <c r="C19" s="257"/>
      <c r="D19" s="257"/>
      <c r="E19" s="257"/>
      <c r="F19" s="73">
        <v>31280.26</v>
      </c>
      <c r="G19" s="61" t="e">
        <f>' Račun prihoda i rashoda'!G37</f>
        <v>#REF!</v>
      </c>
      <c r="H19" s="61">
        <f>H18*7.5345</f>
        <v>60276</v>
      </c>
      <c r="I19" s="61"/>
      <c r="J19" s="61"/>
      <c r="K19" s="61" t="e">
        <f t="shared" ref="K19" si="8">K18*7.5345</f>
        <v>#REF!</v>
      </c>
      <c r="L19" s="61" t="e">
        <f>L18*7.5345</f>
        <v>#REF!</v>
      </c>
    </row>
    <row r="20" spans="1:12" x14ac:dyDescent="0.25">
      <c r="A20" s="269" t="s">
        <v>145</v>
      </c>
      <c r="B20" s="270"/>
      <c r="C20" s="270"/>
      <c r="D20" s="270"/>
      <c r="E20" s="270"/>
      <c r="F20" s="66" t="e">
        <f>F8-F14</f>
        <v>#REF!</v>
      </c>
      <c r="G20" s="33" t="e">
        <f>G8-G14</f>
        <v>#REF!</v>
      </c>
      <c r="H20" s="33">
        <f>H8-H14</f>
        <v>0</v>
      </c>
      <c r="I20" s="33">
        <f t="shared" ref="I20:J20" si="9">I8-I14</f>
        <v>0</v>
      </c>
      <c r="J20" s="33">
        <f t="shared" si="9"/>
        <v>0</v>
      </c>
      <c r="K20" s="33" t="e">
        <f>K8-K14</f>
        <v>#REF!</v>
      </c>
      <c r="L20" s="33" t="e">
        <f>L8-L14</f>
        <v>#REF!</v>
      </c>
    </row>
    <row r="21" spans="1:12" hidden="1" x14ac:dyDescent="0.25">
      <c r="A21" s="269" t="s">
        <v>122</v>
      </c>
      <c r="B21" s="270"/>
      <c r="C21" s="270"/>
      <c r="D21" s="270"/>
      <c r="E21" s="270"/>
      <c r="F21" s="66">
        <f>F9-F15</f>
        <v>-151.25</v>
      </c>
      <c r="G21" s="33" t="e">
        <f>G9-G15</f>
        <v>#REF!</v>
      </c>
      <c r="H21" s="33">
        <f t="shared" ref="H21:L21" si="10">H9-H15</f>
        <v>0</v>
      </c>
      <c r="I21" s="33"/>
      <c r="J21" s="33"/>
      <c r="K21" s="33" t="e">
        <f t="shared" si="10"/>
        <v>#REF!</v>
      </c>
      <c r="L21" s="33" t="e">
        <f t="shared" si="10"/>
        <v>#REF!</v>
      </c>
    </row>
    <row r="22" spans="1:12" ht="18" x14ac:dyDescent="0.25">
      <c r="A22" s="5"/>
      <c r="B22" s="9"/>
      <c r="C22" s="9"/>
      <c r="D22" s="9"/>
      <c r="E22" s="9"/>
      <c r="F22" s="9"/>
      <c r="G22" s="9"/>
      <c r="H22" s="3"/>
      <c r="I22" s="3"/>
      <c r="J22" s="3"/>
      <c r="K22" s="3"/>
      <c r="L22" s="3"/>
    </row>
    <row r="23" spans="1:12" ht="18" customHeight="1" x14ac:dyDescent="0.25">
      <c r="A23" s="259" t="s">
        <v>43</v>
      </c>
      <c r="B23" s="260"/>
      <c r="C23" s="260"/>
      <c r="D23" s="260"/>
      <c r="E23" s="260"/>
      <c r="F23" s="260"/>
      <c r="G23" s="260"/>
      <c r="H23" s="260"/>
      <c r="I23" s="260"/>
      <c r="J23" s="260"/>
      <c r="K23" s="260"/>
      <c r="L23" s="260"/>
    </row>
    <row r="24" spans="1:12" ht="18" x14ac:dyDescent="0.25">
      <c r="A24" s="5"/>
      <c r="B24" s="9"/>
      <c r="C24" s="9"/>
      <c r="D24" s="9"/>
      <c r="E24" s="9"/>
      <c r="F24" s="9"/>
      <c r="G24" s="9"/>
      <c r="H24" s="3"/>
      <c r="I24" s="3"/>
      <c r="J24" s="3"/>
      <c r="K24" s="3"/>
      <c r="L24" s="3"/>
    </row>
    <row r="25" spans="1:12" ht="25.5" x14ac:dyDescent="0.25">
      <c r="A25" s="29"/>
      <c r="B25" s="30"/>
      <c r="C25" s="30"/>
      <c r="D25" s="31"/>
      <c r="E25" s="32"/>
      <c r="F25" s="4" t="s">
        <v>131</v>
      </c>
      <c r="G25" s="4" t="s">
        <v>132</v>
      </c>
      <c r="H25" s="4" t="s">
        <v>147</v>
      </c>
      <c r="I25" s="144" t="s">
        <v>129</v>
      </c>
      <c r="J25" s="144" t="s">
        <v>148</v>
      </c>
      <c r="K25" s="4" t="s">
        <v>133</v>
      </c>
      <c r="L25" s="4" t="s">
        <v>134</v>
      </c>
    </row>
    <row r="26" spans="1:12" ht="15.75" customHeight="1" x14ac:dyDescent="0.25">
      <c r="A26" s="256" t="s">
        <v>2</v>
      </c>
      <c r="B26" s="267"/>
      <c r="C26" s="267"/>
      <c r="D26" s="267"/>
      <c r="E26" s="268"/>
      <c r="F26" s="34">
        <v>0</v>
      </c>
      <c r="G26" s="34">
        <v>0</v>
      </c>
      <c r="H26" s="34">
        <v>0</v>
      </c>
      <c r="I26" s="34">
        <v>0</v>
      </c>
      <c r="J26" s="34">
        <v>0</v>
      </c>
      <c r="K26" s="34">
        <v>0</v>
      </c>
      <c r="L26" s="34">
        <v>0</v>
      </c>
    </row>
    <row r="27" spans="1:12" x14ac:dyDescent="0.25">
      <c r="A27" s="256" t="s">
        <v>3</v>
      </c>
      <c r="B27" s="255"/>
      <c r="C27" s="255"/>
      <c r="D27" s="255"/>
      <c r="E27" s="255"/>
      <c r="F27" s="34">
        <v>0</v>
      </c>
      <c r="G27" s="34">
        <v>0</v>
      </c>
      <c r="H27" s="34">
        <v>0</v>
      </c>
      <c r="I27" s="34">
        <v>0</v>
      </c>
      <c r="J27" s="34">
        <v>0</v>
      </c>
      <c r="K27" s="34">
        <v>0</v>
      </c>
      <c r="L27" s="34">
        <v>0</v>
      </c>
    </row>
    <row r="28" spans="1:12" x14ac:dyDescent="0.25">
      <c r="A28" s="269" t="s">
        <v>4</v>
      </c>
      <c r="B28" s="270"/>
      <c r="C28" s="270"/>
      <c r="D28" s="270"/>
      <c r="E28" s="270"/>
      <c r="F28" s="33">
        <f>SUM(F26:F27)</f>
        <v>0</v>
      </c>
      <c r="G28" s="33">
        <f t="shared" ref="G28:L28" si="11">SUM(G26:G27)</f>
        <v>0</v>
      </c>
      <c r="H28" s="33">
        <f t="shared" si="11"/>
        <v>0</v>
      </c>
      <c r="I28" s="33">
        <f t="shared" si="11"/>
        <v>0</v>
      </c>
      <c r="J28" s="33">
        <f t="shared" si="11"/>
        <v>0</v>
      </c>
      <c r="K28" s="33">
        <f t="shared" si="11"/>
        <v>0</v>
      </c>
      <c r="L28" s="33">
        <f t="shared" si="11"/>
        <v>0</v>
      </c>
    </row>
    <row r="29" spans="1:12" ht="18" x14ac:dyDescent="0.25">
      <c r="A29" s="26"/>
      <c r="B29" s="9"/>
      <c r="C29" s="9"/>
      <c r="D29" s="9"/>
      <c r="E29" s="9"/>
      <c r="F29" s="9"/>
      <c r="G29" s="9"/>
      <c r="H29" s="3"/>
      <c r="I29" s="3"/>
      <c r="J29" s="3"/>
      <c r="K29" s="3"/>
      <c r="L29" s="3"/>
    </row>
    <row r="30" spans="1:12" ht="18" customHeight="1" x14ac:dyDescent="0.25">
      <c r="A30" s="259" t="s">
        <v>53</v>
      </c>
      <c r="B30" s="260"/>
      <c r="C30" s="260"/>
      <c r="D30" s="260"/>
      <c r="E30" s="260"/>
      <c r="F30" s="260"/>
      <c r="G30" s="260"/>
      <c r="H30" s="260"/>
      <c r="I30" s="260"/>
      <c r="J30" s="260"/>
      <c r="K30" s="260"/>
      <c r="L30" s="260"/>
    </row>
    <row r="31" spans="1:12" ht="18" x14ac:dyDescent="0.25">
      <c r="A31" s="26"/>
      <c r="B31" s="9"/>
      <c r="C31" s="9"/>
      <c r="D31" s="9"/>
      <c r="E31" s="9"/>
      <c r="F31" s="9"/>
      <c r="G31" s="9"/>
      <c r="H31" s="3"/>
      <c r="I31" s="3"/>
      <c r="J31" s="3"/>
      <c r="K31" s="3"/>
      <c r="L31" s="3"/>
    </row>
    <row r="32" spans="1:12" ht="25.5" x14ac:dyDescent="0.25">
      <c r="A32" s="29"/>
      <c r="B32" s="30"/>
      <c r="C32" s="30"/>
      <c r="D32" s="31"/>
      <c r="E32" s="32"/>
      <c r="F32" s="4" t="s">
        <v>131</v>
      </c>
      <c r="G32" s="4" t="s">
        <v>132</v>
      </c>
      <c r="H32" s="4" t="s">
        <v>147</v>
      </c>
      <c r="I32" s="144" t="s">
        <v>129</v>
      </c>
      <c r="J32" s="144" t="s">
        <v>148</v>
      </c>
      <c r="K32" s="4" t="s">
        <v>133</v>
      </c>
      <c r="L32" s="4" t="s">
        <v>134</v>
      </c>
    </row>
    <row r="33" spans="1:12" x14ac:dyDescent="0.25">
      <c r="A33" s="261" t="s">
        <v>44</v>
      </c>
      <c r="B33" s="262"/>
      <c r="C33" s="262"/>
      <c r="D33" s="262"/>
      <c r="E33" s="263"/>
      <c r="F33" s="37"/>
      <c r="G33" s="37"/>
      <c r="H33" s="37"/>
      <c r="I33" s="37"/>
      <c r="J33" s="145"/>
      <c r="K33" s="37"/>
      <c r="L33" s="38"/>
    </row>
    <row r="34" spans="1:12" ht="30" customHeight="1" x14ac:dyDescent="0.25">
      <c r="A34" s="264" t="s">
        <v>1</v>
      </c>
      <c r="B34" s="265"/>
      <c r="C34" s="265"/>
      <c r="D34" s="265"/>
      <c r="E34" s="266"/>
      <c r="F34" s="39">
        <v>0</v>
      </c>
      <c r="G34" s="39">
        <v>0</v>
      </c>
      <c r="H34" s="39">
        <v>0</v>
      </c>
      <c r="I34" s="39">
        <v>0</v>
      </c>
      <c r="J34" s="146">
        <v>0</v>
      </c>
      <c r="K34" s="39">
        <v>0</v>
      </c>
      <c r="L34" s="36">
        <v>0</v>
      </c>
    </row>
    <row r="35" spans="1:12" x14ac:dyDescent="0.25">
      <c r="F35" s="55"/>
      <c r="G35" s="55"/>
    </row>
    <row r="36" spans="1:12" x14ac:dyDescent="0.25">
      <c r="F36" s="55"/>
      <c r="G36" s="55"/>
    </row>
    <row r="37" spans="1:12" x14ac:dyDescent="0.25">
      <c r="A37" s="254" t="s">
        <v>5</v>
      </c>
      <c r="B37" s="255"/>
      <c r="C37" s="255"/>
      <c r="D37" s="255"/>
      <c r="E37" s="255"/>
      <c r="F37" s="34">
        <v>0</v>
      </c>
      <c r="G37" s="34">
        <v>0</v>
      </c>
      <c r="H37" s="34">
        <v>0</v>
      </c>
      <c r="I37" s="34">
        <v>0</v>
      </c>
      <c r="J37" s="34">
        <v>0</v>
      </c>
      <c r="K37" s="34">
        <v>0</v>
      </c>
      <c r="L37" s="34">
        <v>0</v>
      </c>
    </row>
    <row r="38" spans="1:12" ht="11.25" customHeight="1" x14ac:dyDescent="0.25">
      <c r="A38" s="21"/>
      <c r="B38" s="22"/>
      <c r="C38" s="22"/>
      <c r="D38" s="22"/>
      <c r="E38" s="22"/>
      <c r="F38" s="23"/>
      <c r="G38" s="23"/>
      <c r="H38" s="23"/>
      <c r="I38" s="23"/>
      <c r="J38" s="23"/>
      <c r="K38" s="23"/>
      <c r="L38" s="23"/>
    </row>
    <row r="39" spans="1:12" ht="10.15" customHeight="1" x14ac:dyDescent="0.25"/>
    <row r="40" spans="1:12" ht="11.45" customHeight="1" x14ac:dyDescent="0.25"/>
  </sheetData>
  <sheetProtection algorithmName="SHA-512" hashValue="JeJ6i7GqQBP3oFbX25oKLpEqIl9AXCwDwwcQ5m72DdYgn8DVBMB8RMArU2OYSjLh0atUGqJz8pkOUW+MHWw3+w==" saltValue="1JdgIAKbDKJ+8Xwj89JSEQ==" spinCount="100000" sheet="1" objects="1" scenarios="1"/>
  <mergeCells count="25">
    <mergeCell ref="A1:J1"/>
    <mergeCell ref="A30:L30"/>
    <mergeCell ref="A37:E37"/>
    <mergeCell ref="A33:E33"/>
    <mergeCell ref="A34:E34"/>
    <mergeCell ref="A26:E26"/>
    <mergeCell ref="A27:E27"/>
    <mergeCell ref="A28:E28"/>
    <mergeCell ref="A18:E18"/>
    <mergeCell ref="A20:E20"/>
    <mergeCell ref="A19:E19"/>
    <mergeCell ref="A21:E21"/>
    <mergeCell ref="A16:E16"/>
    <mergeCell ref="A5:L5"/>
    <mergeCell ref="A23:L23"/>
    <mergeCell ref="A3:L3"/>
    <mergeCell ref="A14:E14"/>
    <mergeCell ref="A9:E9"/>
    <mergeCell ref="A15:E15"/>
    <mergeCell ref="A17:E17"/>
    <mergeCell ref="A8:E8"/>
    <mergeCell ref="A10:E10"/>
    <mergeCell ref="A12:E12"/>
    <mergeCell ref="A11:E11"/>
    <mergeCell ref="A13:E13"/>
  </mergeCells>
  <pageMargins left="0.7" right="0.7" top="0.75" bottom="0.75" header="0.3" footer="0.3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50"/>
  <sheetViews>
    <sheetView topLeftCell="A15" workbookViewId="0">
      <selection activeCell="O15" sqref="O15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3" width="6.28515625" bestFit="1" customWidth="1"/>
    <col min="4" max="4" width="28.42578125" customWidth="1"/>
    <col min="5" max="10" width="25.28515625" hidden="1" customWidth="1"/>
    <col min="11" max="11" width="25.28515625" style="142" hidden="1" customWidth="1"/>
    <col min="12" max="12" width="25.28515625" hidden="1" customWidth="1"/>
    <col min="13" max="15" width="25.28515625" customWidth="1"/>
    <col min="16" max="17" width="25.28515625" hidden="1" customWidth="1"/>
  </cols>
  <sheetData>
    <row r="1" spans="1:17" ht="42" customHeight="1" x14ac:dyDescent="0.25">
      <c r="A1" s="272" t="s">
        <v>151</v>
      </c>
      <c r="B1" s="272"/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67"/>
      <c r="Q1" s="67"/>
    </row>
    <row r="2" spans="1:17" ht="18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138"/>
      <c r="L2" s="5"/>
    </row>
    <row r="3" spans="1:17" ht="15.6" customHeight="1" x14ac:dyDescent="0.25">
      <c r="A3" s="259" t="s">
        <v>34</v>
      </c>
      <c r="B3" s="259"/>
      <c r="C3" s="259"/>
      <c r="D3" s="259"/>
      <c r="E3" s="259"/>
      <c r="F3" s="259"/>
      <c r="G3" s="259"/>
      <c r="H3" s="259"/>
      <c r="I3" s="259"/>
      <c r="J3" s="259"/>
      <c r="K3" s="259"/>
      <c r="L3" s="259"/>
      <c r="M3" s="259"/>
      <c r="N3" s="259"/>
      <c r="O3" s="259"/>
      <c r="P3" s="259"/>
      <c r="Q3" s="259"/>
    </row>
    <row r="4" spans="1:17" ht="18" x14ac:dyDescent="0.25">
      <c r="A4" s="5"/>
      <c r="B4" s="5"/>
      <c r="C4" s="5"/>
      <c r="D4" s="5"/>
      <c r="E4" s="5"/>
      <c r="F4" s="5"/>
      <c r="G4" s="5"/>
      <c r="H4" s="5"/>
      <c r="I4" s="5"/>
      <c r="J4" s="6"/>
      <c r="K4" s="139"/>
      <c r="L4" s="6"/>
    </row>
    <row r="5" spans="1:17" ht="18" customHeight="1" x14ac:dyDescent="0.25">
      <c r="A5" s="259" t="s">
        <v>9</v>
      </c>
      <c r="B5" s="259"/>
      <c r="C5" s="259"/>
      <c r="D5" s="259"/>
      <c r="E5" s="259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59"/>
      <c r="Q5" s="259"/>
    </row>
    <row r="6" spans="1:17" ht="18" x14ac:dyDescent="0.25">
      <c r="A6" s="5"/>
      <c r="B6" s="5"/>
      <c r="C6" s="5"/>
      <c r="D6" s="5"/>
      <c r="E6" s="5"/>
      <c r="F6" s="5"/>
      <c r="G6" s="5"/>
      <c r="H6" s="5"/>
      <c r="I6" s="5"/>
      <c r="J6" s="6"/>
      <c r="K6" s="139"/>
      <c r="L6" s="6"/>
    </row>
    <row r="7" spans="1:17" ht="15.6" customHeight="1" x14ac:dyDescent="0.25">
      <c r="A7" s="259" t="s">
        <v>0</v>
      </c>
      <c r="B7" s="259"/>
      <c r="C7" s="259"/>
      <c r="D7" s="259"/>
      <c r="E7" s="259"/>
      <c r="F7" s="259"/>
      <c r="G7" s="259"/>
      <c r="H7" s="259"/>
      <c r="I7" s="259"/>
      <c r="J7" s="259"/>
      <c r="K7" s="259"/>
      <c r="L7" s="259"/>
      <c r="M7" s="259"/>
      <c r="N7" s="259"/>
      <c r="O7" s="259"/>
      <c r="P7" s="259"/>
      <c r="Q7" s="259"/>
    </row>
    <row r="8" spans="1:17" ht="18" x14ac:dyDescent="0.25">
      <c r="A8" s="5"/>
      <c r="B8" s="5"/>
      <c r="C8" s="5"/>
      <c r="D8" s="5"/>
      <c r="E8" s="5"/>
      <c r="F8" s="5"/>
      <c r="G8" s="5"/>
      <c r="H8" s="5"/>
      <c r="I8" s="5"/>
      <c r="J8" s="6"/>
      <c r="K8" s="139"/>
      <c r="L8" s="6"/>
    </row>
    <row r="9" spans="1:17" ht="25.5" x14ac:dyDescent="0.25">
      <c r="A9" s="25" t="s">
        <v>10</v>
      </c>
      <c r="B9" s="24" t="s">
        <v>11</v>
      </c>
      <c r="C9" s="24" t="s">
        <v>12</v>
      </c>
      <c r="D9" s="24" t="s">
        <v>8</v>
      </c>
      <c r="E9" s="24" t="s">
        <v>108</v>
      </c>
      <c r="F9" s="24" t="s">
        <v>6</v>
      </c>
      <c r="G9" s="25" t="s">
        <v>113</v>
      </c>
      <c r="H9" s="25" t="s">
        <v>7</v>
      </c>
      <c r="I9" s="25" t="s">
        <v>46</v>
      </c>
      <c r="J9" s="113" t="s">
        <v>129</v>
      </c>
      <c r="K9" s="140" t="s">
        <v>135</v>
      </c>
      <c r="L9" s="113" t="s">
        <v>137</v>
      </c>
      <c r="M9" s="130" t="s">
        <v>147</v>
      </c>
      <c r="N9" s="113" t="s">
        <v>129</v>
      </c>
      <c r="O9" s="113" t="s">
        <v>148</v>
      </c>
      <c r="P9" s="130" t="s">
        <v>133</v>
      </c>
      <c r="Q9" s="130" t="s">
        <v>134</v>
      </c>
    </row>
    <row r="10" spans="1:17" ht="15.75" customHeight="1" x14ac:dyDescent="0.25">
      <c r="A10" s="68">
        <v>6</v>
      </c>
      <c r="B10" s="68"/>
      <c r="C10" s="68"/>
      <c r="D10" s="68" t="s">
        <v>13</v>
      </c>
      <c r="E10" s="228" t="e">
        <f>E11+E13+E15+E19</f>
        <v>#REF!</v>
      </c>
      <c r="F10" s="228" t="e">
        <f>F11+F13+F15+F19</f>
        <v>#REF!</v>
      </c>
      <c r="G10" s="228" t="e">
        <f t="shared" ref="G10:L10" si="0">G11+G13+G15+G19</f>
        <v>#REF!</v>
      </c>
      <c r="H10" s="228" t="e">
        <f t="shared" ref="H10" si="1">H11+H13+H15+H19</f>
        <v>#REF!</v>
      </c>
      <c r="I10" s="229" t="e">
        <f t="shared" si="0"/>
        <v>#REF!</v>
      </c>
      <c r="J10" s="229" t="e">
        <f t="shared" si="0"/>
        <v>#REF!</v>
      </c>
      <c r="K10" s="228" t="e">
        <f t="shared" ref="K10" si="2">K11+K13+K15+K19</f>
        <v>#REF!</v>
      </c>
      <c r="L10" s="229" t="e">
        <f t="shared" si="0"/>
        <v>#REF!</v>
      </c>
      <c r="M10" s="229">
        <f t="shared" ref="M10:Q10" si="3">M11+M13+M15+M19</f>
        <v>54150</v>
      </c>
      <c r="N10" s="229">
        <f>O10-M10</f>
        <v>157375</v>
      </c>
      <c r="O10" s="229">
        <f t="shared" ref="O10" si="4">O11+O13+O15+O19</f>
        <v>211525</v>
      </c>
      <c r="P10" s="60" t="e">
        <f t="shared" si="3"/>
        <v>#REF!</v>
      </c>
      <c r="Q10" s="60" t="e">
        <f t="shared" si="3"/>
        <v>#REF!</v>
      </c>
    </row>
    <row r="11" spans="1:17" ht="38.25" x14ac:dyDescent="0.25">
      <c r="A11" s="236"/>
      <c r="B11" s="236">
        <v>63</v>
      </c>
      <c r="C11" s="236"/>
      <c r="D11" s="236" t="s">
        <v>48</v>
      </c>
      <c r="E11" s="243" t="e">
        <f>E12</f>
        <v>#REF!</v>
      </c>
      <c r="F11" s="243" t="e">
        <f>F12</f>
        <v>#REF!</v>
      </c>
      <c r="G11" s="243" t="e">
        <f t="shared" ref="G11:Q11" si="5">G12</f>
        <v>#REF!</v>
      </c>
      <c r="H11" s="243" t="e">
        <f t="shared" si="5"/>
        <v>#REF!</v>
      </c>
      <c r="I11" s="244" t="e">
        <f t="shared" si="5"/>
        <v>#REF!</v>
      </c>
      <c r="J11" s="244" t="e">
        <f t="shared" si="5"/>
        <v>#REF!</v>
      </c>
      <c r="K11" s="243" t="e">
        <f t="shared" si="5"/>
        <v>#REF!</v>
      </c>
      <c r="L11" s="244" t="e">
        <f t="shared" si="5"/>
        <v>#REF!</v>
      </c>
      <c r="M11" s="244">
        <f t="shared" si="5"/>
        <v>8000</v>
      </c>
      <c r="N11" s="244">
        <f t="shared" ref="N11:N17" si="6">O11-M11</f>
        <v>117175</v>
      </c>
      <c r="O11" s="244">
        <f t="shared" si="5"/>
        <v>125175</v>
      </c>
      <c r="P11" s="60" t="e">
        <f t="shared" si="5"/>
        <v>#REF!</v>
      </c>
      <c r="Q11" s="60" t="e">
        <f t="shared" si="5"/>
        <v>#REF!</v>
      </c>
    </row>
    <row r="12" spans="1:17" x14ac:dyDescent="0.25">
      <c r="A12" s="71"/>
      <c r="B12" s="71">
        <v>63622</v>
      </c>
      <c r="C12" s="72" t="s">
        <v>173</v>
      </c>
      <c r="D12" s="72" t="s">
        <v>50</v>
      </c>
      <c r="E12" s="69" t="e">
        <f>'POSEBNI DIO'!E12</f>
        <v>#REF!</v>
      </c>
      <c r="F12" s="69" t="e">
        <f>'POSEBNI DIO'!F12</f>
        <v>#REF!</v>
      </c>
      <c r="G12" s="73" t="e">
        <f>'POSEBNI DIO'!G12</f>
        <v>#REF!</v>
      </c>
      <c r="H12" s="73" t="e">
        <f>'POSEBNI DIO'!H12</f>
        <v>#REF!</v>
      </c>
      <c r="I12" s="61" t="e">
        <f>'POSEBNI DIO'!J12</f>
        <v>#REF!</v>
      </c>
      <c r="J12" s="61" t="e">
        <f>'POSEBNI DIO'!K12</f>
        <v>#REF!</v>
      </c>
      <c r="K12" s="73" t="e">
        <f>'POSEBNI DIO'!L12</f>
        <v>#REF!</v>
      </c>
      <c r="L12" s="61" t="e">
        <f>'POSEBNI DIO'!M12</f>
        <v>#REF!</v>
      </c>
      <c r="M12" s="61">
        <f>'POSEBNI DIO'!N12</f>
        <v>8000</v>
      </c>
      <c r="N12" s="60">
        <f t="shared" si="6"/>
        <v>117175</v>
      </c>
      <c r="O12" s="61">
        <f>'POSEBNI DIO'!P12</f>
        <v>125175</v>
      </c>
      <c r="P12" s="61" t="e">
        <f>'POSEBNI DIO'!Q12</f>
        <v>#REF!</v>
      </c>
      <c r="Q12" s="61" t="e">
        <f>'POSEBNI DIO'!R12</f>
        <v>#REF!</v>
      </c>
    </row>
    <row r="13" spans="1:17" x14ac:dyDescent="0.25">
      <c r="A13" s="242"/>
      <c r="B13" s="242">
        <v>65</v>
      </c>
      <c r="C13" s="245"/>
      <c r="D13" s="242" t="s">
        <v>174</v>
      </c>
      <c r="E13" s="246" t="e">
        <f>E14</f>
        <v>#REF!</v>
      </c>
      <c r="F13" s="246" t="e">
        <f>F14</f>
        <v>#REF!</v>
      </c>
      <c r="G13" s="246" t="e">
        <f t="shared" ref="G13:Q13" si="7">G14</f>
        <v>#REF!</v>
      </c>
      <c r="H13" s="246" t="e">
        <f t="shared" si="7"/>
        <v>#REF!</v>
      </c>
      <c r="I13" s="247" t="e">
        <f t="shared" si="7"/>
        <v>#REF!</v>
      </c>
      <c r="J13" s="247" t="e">
        <f t="shared" si="7"/>
        <v>#REF!</v>
      </c>
      <c r="K13" s="246" t="e">
        <f t="shared" si="7"/>
        <v>#REF!</v>
      </c>
      <c r="L13" s="247" t="e">
        <f t="shared" si="7"/>
        <v>#REF!</v>
      </c>
      <c r="M13" s="247">
        <f t="shared" si="7"/>
        <v>600</v>
      </c>
      <c r="N13" s="244">
        <f t="shared" si="6"/>
        <v>-100</v>
      </c>
      <c r="O13" s="247">
        <f t="shared" si="7"/>
        <v>500</v>
      </c>
      <c r="P13" s="76" t="e">
        <f t="shared" si="7"/>
        <v>#REF!</v>
      </c>
      <c r="Q13" s="76" t="e">
        <f t="shared" si="7"/>
        <v>#REF!</v>
      </c>
    </row>
    <row r="14" spans="1:17" ht="25.5" x14ac:dyDescent="0.25">
      <c r="A14" s="71"/>
      <c r="B14" s="71">
        <v>65264</v>
      </c>
      <c r="C14" s="72" t="s">
        <v>172</v>
      </c>
      <c r="D14" s="77" t="s">
        <v>51</v>
      </c>
      <c r="E14" s="69" t="e">
        <f>'POSEBNI DIO'!E11</f>
        <v>#REF!</v>
      </c>
      <c r="F14" s="69" t="e">
        <f>'POSEBNI DIO'!F11</f>
        <v>#REF!</v>
      </c>
      <c r="G14" s="73" t="e">
        <f>'POSEBNI DIO'!G11</f>
        <v>#REF!</v>
      </c>
      <c r="H14" s="73" t="e">
        <f>'POSEBNI DIO'!H11</f>
        <v>#REF!</v>
      </c>
      <c r="I14" s="61" t="e">
        <f>'POSEBNI DIO'!J11</f>
        <v>#REF!</v>
      </c>
      <c r="J14" s="61" t="e">
        <f>'POSEBNI DIO'!K11</f>
        <v>#REF!</v>
      </c>
      <c r="K14" s="73" t="e">
        <f>'POSEBNI DIO'!L11</f>
        <v>#REF!</v>
      </c>
      <c r="L14" s="61" t="e">
        <f>'POSEBNI DIO'!M11</f>
        <v>#REF!</v>
      </c>
      <c r="M14" s="61">
        <f>'POSEBNI DIO'!N11</f>
        <v>600</v>
      </c>
      <c r="N14" s="60">
        <f t="shared" si="6"/>
        <v>-100</v>
      </c>
      <c r="O14" s="61">
        <f>'POSEBNI DIO'!P11</f>
        <v>500</v>
      </c>
      <c r="P14" s="61" t="e">
        <f>'POSEBNI DIO'!Q11</f>
        <v>#REF!</v>
      </c>
      <c r="Q14" s="61" t="e">
        <f>'POSEBNI DIO'!R11</f>
        <v>#REF!</v>
      </c>
    </row>
    <row r="15" spans="1:17" ht="38.25" x14ac:dyDescent="0.25">
      <c r="A15" s="242"/>
      <c r="B15" s="242">
        <v>67</v>
      </c>
      <c r="C15" s="245"/>
      <c r="D15" s="236" t="s">
        <v>49</v>
      </c>
      <c r="E15" s="243" t="e">
        <f>E16+E17</f>
        <v>#REF!</v>
      </c>
      <c r="F15" s="243" t="e">
        <f>F16+F17</f>
        <v>#REF!</v>
      </c>
      <c r="G15" s="243" t="e">
        <f t="shared" ref="G15:L15" si="8">G16+G17</f>
        <v>#REF!</v>
      </c>
      <c r="H15" s="243" t="e">
        <f t="shared" ref="H15" si="9">H16+H17</f>
        <v>#REF!</v>
      </c>
      <c r="I15" s="244" t="e">
        <f t="shared" si="8"/>
        <v>#REF!</v>
      </c>
      <c r="J15" s="244" t="e">
        <f t="shared" si="8"/>
        <v>#REF!</v>
      </c>
      <c r="K15" s="243">
        <f t="shared" ref="K15" si="10">K16+K17</f>
        <v>45246.69</v>
      </c>
      <c r="L15" s="244" t="e">
        <f t="shared" si="8"/>
        <v>#REF!</v>
      </c>
      <c r="M15" s="244">
        <f t="shared" ref="M15:Q15" si="11">M16+M17</f>
        <v>45550</v>
      </c>
      <c r="N15" s="244">
        <f t="shared" si="6"/>
        <v>40300</v>
      </c>
      <c r="O15" s="244">
        <f t="shared" ref="O15" si="12">O16+O17</f>
        <v>85850</v>
      </c>
      <c r="P15" s="60" t="e">
        <f t="shared" si="11"/>
        <v>#REF!</v>
      </c>
      <c r="Q15" s="60" t="e">
        <f t="shared" si="11"/>
        <v>#REF!</v>
      </c>
    </row>
    <row r="16" spans="1:17" x14ac:dyDescent="0.25">
      <c r="A16" s="71"/>
      <c r="B16" s="71">
        <v>67111</v>
      </c>
      <c r="C16" s="72" t="s">
        <v>171</v>
      </c>
      <c r="D16" s="72" t="s">
        <v>14</v>
      </c>
      <c r="E16" s="69" t="e">
        <f>'POSEBNI DIO'!E14</f>
        <v>#REF!</v>
      </c>
      <c r="F16" s="69" t="e">
        <f>'POSEBNI DIO'!F14</f>
        <v>#REF!</v>
      </c>
      <c r="G16" s="69" t="e">
        <f>'POSEBNI DIO'!G14</f>
        <v>#REF!</v>
      </c>
      <c r="H16" s="69" t="e">
        <f>'POSEBNI DIO'!H14</f>
        <v>#REF!</v>
      </c>
      <c r="I16" s="61" t="e">
        <f>'POSEBNI DIO'!J14</f>
        <v>#REF!</v>
      </c>
      <c r="J16" s="61" t="e">
        <f>'POSEBNI DIO'!K14</f>
        <v>#REF!</v>
      </c>
      <c r="K16" s="73">
        <f>'POSEBNI DIO'!L14</f>
        <v>44678.61</v>
      </c>
      <c r="L16" s="61" t="e">
        <f>'POSEBNI DIO'!M14</f>
        <v>#REF!</v>
      </c>
      <c r="M16" s="61">
        <f>'POSEBNI DIO'!N14</f>
        <v>45550</v>
      </c>
      <c r="N16" s="60">
        <f t="shared" si="6"/>
        <v>-3800</v>
      </c>
      <c r="O16" s="61">
        <f>'POSEBNI DIO'!P14</f>
        <v>41750</v>
      </c>
      <c r="P16" s="61" t="e">
        <f>'POSEBNI DIO'!Q14</f>
        <v>#REF!</v>
      </c>
      <c r="Q16" s="61" t="e">
        <f>'POSEBNI DIO'!R14</f>
        <v>#REF!</v>
      </c>
    </row>
    <row r="17" spans="1:20" x14ac:dyDescent="0.25">
      <c r="A17" s="71"/>
      <c r="B17" s="71">
        <v>67121</v>
      </c>
      <c r="C17" s="72" t="s">
        <v>171</v>
      </c>
      <c r="D17" s="72" t="s">
        <v>14</v>
      </c>
      <c r="E17" s="69" t="e">
        <f>'POSEBNI DIO'!E78+'POSEBNI DIO'!E95</f>
        <v>#REF!</v>
      </c>
      <c r="F17" s="69" t="e">
        <f>'POSEBNI DIO'!F78+'POSEBNI DIO'!F95</f>
        <v>#REF!</v>
      </c>
      <c r="G17" s="73" t="e">
        <f>'POSEBNI DIO'!G78+'POSEBNI DIO'!G95</f>
        <v>#REF!</v>
      </c>
      <c r="H17" s="73" t="e">
        <f>'POSEBNI DIO'!H78+'POSEBNI DIO'!H95</f>
        <v>#REF!</v>
      </c>
      <c r="I17" s="61" t="e">
        <f>'POSEBNI DIO'!J78+'POSEBNI DIO'!J95</f>
        <v>#REF!</v>
      </c>
      <c r="J17" s="61" t="e">
        <f>'POSEBNI DIO'!K78+'POSEBNI DIO'!K95</f>
        <v>#REF!</v>
      </c>
      <c r="K17" s="73">
        <f>'POSEBNI DIO'!L78+'POSEBNI DIO'!L95</f>
        <v>568.08000000000004</v>
      </c>
      <c r="L17" s="61" t="e">
        <f>'POSEBNI DIO'!M78+'POSEBNI DIO'!M95</f>
        <v>#REF!</v>
      </c>
      <c r="M17" s="61">
        <f>'POSEBNI DIO'!N78+'POSEBNI DIO'!N95</f>
        <v>0</v>
      </c>
      <c r="N17" s="60">
        <f t="shared" si="6"/>
        <v>44100</v>
      </c>
      <c r="O17" s="61">
        <f>'POSEBNI DIO'!P78+'POSEBNI DIO'!P95</f>
        <v>44100</v>
      </c>
      <c r="P17" s="61" t="e">
        <f>'POSEBNI DIO'!Q78+'POSEBNI DIO'!Q95</f>
        <v>#REF!</v>
      </c>
      <c r="Q17" s="61" t="e">
        <f>'POSEBNI DIO'!R78+'POSEBNI DIO'!R95</f>
        <v>#REF!</v>
      </c>
    </row>
    <row r="18" spans="1:20" ht="25.5" hidden="1" x14ac:dyDescent="0.25">
      <c r="A18" s="14"/>
      <c r="B18" s="14"/>
      <c r="C18" s="15">
        <v>43</v>
      </c>
      <c r="D18" s="19" t="s">
        <v>51</v>
      </c>
      <c r="E18" s="10"/>
      <c r="F18" s="10"/>
      <c r="G18" s="11"/>
      <c r="H18" s="11"/>
      <c r="I18" s="11"/>
      <c r="J18" s="11"/>
      <c r="K18" s="141"/>
      <c r="L18" s="11"/>
      <c r="M18" s="11"/>
      <c r="N18" s="11"/>
      <c r="O18" s="11"/>
      <c r="P18" s="11"/>
      <c r="Q18" s="11"/>
    </row>
    <row r="19" spans="1:20" ht="25.5" hidden="1" x14ac:dyDescent="0.25">
      <c r="A19" s="16">
        <v>7</v>
      </c>
      <c r="B19" s="16"/>
      <c r="C19" s="16"/>
      <c r="D19" s="27" t="s">
        <v>15</v>
      </c>
      <c r="E19" s="10"/>
      <c r="F19" s="10"/>
      <c r="G19" s="11"/>
      <c r="H19" s="11"/>
      <c r="I19" s="11"/>
      <c r="J19" s="11"/>
      <c r="K19" s="141"/>
      <c r="L19" s="11"/>
      <c r="M19" s="11"/>
      <c r="N19" s="11"/>
      <c r="O19" s="11"/>
      <c r="P19" s="11"/>
      <c r="Q19" s="11"/>
    </row>
    <row r="20" spans="1:20" ht="38.25" hidden="1" x14ac:dyDescent="0.25">
      <c r="A20" s="17"/>
      <c r="B20" s="17">
        <v>72</v>
      </c>
      <c r="C20" s="17"/>
      <c r="D20" s="28" t="s">
        <v>47</v>
      </c>
      <c r="E20" s="10"/>
      <c r="F20" s="10"/>
      <c r="G20" s="11"/>
      <c r="H20" s="11"/>
      <c r="I20" s="11"/>
      <c r="J20" s="11"/>
      <c r="K20" s="133"/>
      <c r="L20" s="12"/>
      <c r="M20" s="12"/>
      <c r="N20" s="12"/>
      <c r="O20" s="12"/>
      <c r="P20" s="12"/>
      <c r="Q20" s="12"/>
    </row>
    <row r="21" spans="1:20" hidden="1" x14ac:dyDescent="0.25">
      <c r="A21" s="17"/>
      <c r="B21" s="17"/>
      <c r="C21" s="15">
        <v>11</v>
      </c>
      <c r="D21" s="15" t="s">
        <v>14</v>
      </c>
      <c r="E21" s="10"/>
      <c r="F21" s="10"/>
      <c r="G21" s="11"/>
      <c r="H21" s="11"/>
      <c r="I21" s="11"/>
      <c r="J21" s="11"/>
      <c r="K21" s="133"/>
      <c r="L21" s="12"/>
      <c r="M21" s="12"/>
      <c r="N21" s="12"/>
      <c r="O21" s="12"/>
      <c r="P21" s="12"/>
      <c r="Q21" s="12"/>
    </row>
    <row r="23" spans="1:20" ht="15.6" customHeight="1" x14ac:dyDescent="0.25">
      <c r="A23" s="259" t="s">
        <v>16</v>
      </c>
      <c r="B23" s="259"/>
      <c r="C23" s="259"/>
      <c r="D23" s="259"/>
      <c r="E23" s="259"/>
      <c r="F23" s="259"/>
      <c r="G23" s="259"/>
      <c r="H23" s="259"/>
      <c r="I23" s="259"/>
      <c r="J23" s="259"/>
      <c r="K23" s="259"/>
      <c r="L23" s="259"/>
      <c r="M23" s="259"/>
      <c r="N23" s="259"/>
      <c r="O23" s="259"/>
      <c r="P23" s="259"/>
      <c r="Q23" s="259"/>
    </row>
    <row r="24" spans="1:20" ht="18" x14ac:dyDescent="0.25">
      <c r="A24" s="5"/>
      <c r="B24" s="5"/>
      <c r="C24" s="5"/>
      <c r="D24" s="5"/>
      <c r="E24" s="5"/>
      <c r="F24" s="5"/>
      <c r="G24" s="5"/>
      <c r="H24" s="5"/>
      <c r="I24" s="5"/>
      <c r="J24" s="6"/>
      <c r="K24" s="139"/>
      <c r="L24" s="6"/>
    </row>
    <row r="25" spans="1:20" ht="25.5" x14ac:dyDescent="0.25">
      <c r="A25" s="25" t="s">
        <v>10</v>
      </c>
      <c r="B25" s="24" t="s">
        <v>11</v>
      </c>
      <c r="C25" s="24" t="s">
        <v>12</v>
      </c>
      <c r="D25" s="24" t="s">
        <v>17</v>
      </c>
      <c r="E25" s="24" t="s">
        <v>108</v>
      </c>
      <c r="F25" s="24" t="s">
        <v>6</v>
      </c>
      <c r="G25" s="25" t="s">
        <v>113</v>
      </c>
      <c r="H25" s="25" t="s">
        <v>7</v>
      </c>
      <c r="I25" s="25" t="s">
        <v>46</v>
      </c>
      <c r="J25" s="113" t="s">
        <v>129</v>
      </c>
      <c r="K25" s="140" t="s">
        <v>135</v>
      </c>
      <c r="L25" s="113" t="s">
        <v>137</v>
      </c>
      <c r="M25" s="130" t="s">
        <v>147</v>
      </c>
      <c r="N25" s="113" t="s">
        <v>129</v>
      </c>
      <c r="O25" s="113" t="s">
        <v>148</v>
      </c>
      <c r="P25" s="130" t="s">
        <v>133</v>
      </c>
      <c r="Q25" s="130" t="s">
        <v>134</v>
      </c>
    </row>
    <row r="26" spans="1:20" ht="15.75" customHeight="1" x14ac:dyDescent="0.25">
      <c r="A26" s="236">
        <v>3</v>
      </c>
      <c r="B26" s="236"/>
      <c r="C26" s="236"/>
      <c r="D26" s="236" t="s">
        <v>18</v>
      </c>
      <c r="E26" s="237" t="e">
        <f>E27+E30+E34</f>
        <v>#REF!</v>
      </c>
      <c r="F26" s="237" t="e">
        <f>F27+F30+F34</f>
        <v>#REF!</v>
      </c>
      <c r="G26" s="237" t="e">
        <f>G27+G30+G34</f>
        <v>#REF!</v>
      </c>
      <c r="H26" s="237" t="e">
        <f>H27+H30+H34</f>
        <v>#REF!</v>
      </c>
      <c r="I26" s="238" t="e">
        <f t="shared" ref="I26:L26" si="13">I27+I30+I34</f>
        <v>#REF!</v>
      </c>
      <c r="J26" s="238" t="e">
        <f t="shared" si="13"/>
        <v>#REF!</v>
      </c>
      <c r="K26" s="237" t="e">
        <f t="shared" ref="K26" si="14">K27+K30+K34</f>
        <v>#REF!</v>
      </c>
      <c r="L26" s="238" t="e">
        <f t="shared" si="13"/>
        <v>#REF!</v>
      </c>
      <c r="M26" s="239">
        <f>M27+M30+M34</f>
        <v>46150</v>
      </c>
      <c r="N26" s="239">
        <f>O26-M26</f>
        <v>-525</v>
      </c>
      <c r="O26" s="239">
        <f t="shared" ref="O26" si="15">O27+O30+O34</f>
        <v>45625</v>
      </c>
      <c r="P26" s="60" t="e">
        <f t="shared" ref="P26:Q26" si="16">P27+P30+P34</f>
        <v>#REF!</v>
      </c>
      <c r="Q26" s="60" t="e">
        <f t="shared" si="16"/>
        <v>#REF!</v>
      </c>
      <c r="R26" s="55"/>
    </row>
    <row r="27" spans="1:20" s="177" customFormat="1" ht="15.75" customHeight="1" x14ac:dyDescent="0.25">
      <c r="A27" s="68"/>
      <c r="B27" s="68">
        <v>31</v>
      </c>
      <c r="C27" s="68"/>
      <c r="D27" s="68" t="s">
        <v>19</v>
      </c>
      <c r="E27" s="228">
        <f>E28</f>
        <v>232377.23</v>
      </c>
      <c r="F27" s="228" t="e">
        <f>F28</f>
        <v>#REF!</v>
      </c>
      <c r="G27" s="228">
        <f>G28</f>
        <v>259135</v>
      </c>
      <c r="H27" s="228" t="e">
        <f>H28</f>
        <v>#REF!</v>
      </c>
      <c r="I27" s="229" t="e">
        <f t="shared" ref="I27:Q27" si="17">I28</f>
        <v>#REF!</v>
      </c>
      <c r="J27" s="229" t="e">
        <f t="shared" si="17"/>
        <v>#REF!</v>
      </c>
      <c r="K27" s="228">
        <f t="shared" si="17"/>
        <v>34206.43</v>
      </c>
      <c r="L27" s="229">
        <f t="shared" si="17"/>
        <v>36370</v>
      </c>
      <c r="M27" s="226">
        <f>M28+M29</f>
        <v>32100</v>
      </c>
      <c r="N27" s="226">
        <f t="shared" ref="N27:N45" si="18">O27-M27</f>
        <v>-1060</v>
      </c>
      <c r="O27" s="226">
        <f>O28+O29</f>
        <v>31040</v>
      </c>
      <c r="P27" s="229">
        <f t="shared" si="17"/>
        <v>39040</v>
      </c>
      <c r="Q27" s="229">
        <f t="shared" si="17"/>
        <v>39970</v>
      </c>
      <c r="R27" s="191"/>
      <c r="S27" s="191"/>
      <c r="T27" s="191"/>
    </row>
    <row r="28" spans="1:20" x14ac:dyDescent="0.25">
      <c r="A28" s="71"/>
      <c r="B28" s="71"/>
      <c r="C28" s="71" t="s">
        <v>171</v>
      </c>
      <c r="D28" s="71" t="s">
        <v>14</v>
      </c>
      <c r="E28" s="69">
        <f>'POSEBNI DIO'!E16</f>
        <v>232377.23</v>
      </c>
      <c r="F28" s="69" t="e">
        <f>'POSEBNI DIO'!F16</f>
        <v>#REF!</v>
      </c>
      <c r="G28" s="69">
        <f>'POSEBNI DIO'!G16</f>
        <v>259135</v>
      </c>
      <c r="H28" s="69" t="e">
        <f>'POSEBNI DIO'!H16</f>
        <v>#REF!</v>
      </c>
      <c r="I28" s="60" t="e">
        <f>'POSEBNI DIO'!J16</f>
        <v>#REF!</v>
      </c>
      <c r="J28" s="60" t="e">
        <f>'POSEBNI DIO'!K16</f>
        <v>#REF!</v>
      </c>
      <c r="K28" s="69">
        <f>'POSEBNI DIO'!L16</f>
        <v>34206.43</v>
      </c>
      <c r="L28" s="60">
        <f>'POSEBNI DIO'!M16</f>
        <v>36370</v>
      </c>
      <c r="M28" s="147">
        <f>'POSEBNI DIO'!N16</f>
        <v>32100</v>
      </c>
      <c r="N28" s="147">
        <f t="shared" si="18"/>
        <v>-2800</v>
      </c>
      <c r="O28" s="147">
        <f>'POSEBNI DIO'!P16</f>
        <v>29300</v>
      </c>
      <c r="P28" s="60">
        <f>'POSEBNI DIO'!Q16</f>
        <v>39040</v>
      </c>
      <c r="Q28" s="60">
        <f>'POSEBNI DIO'!R16</f>
        <v>39970</v>
      </c>
    </row>
    <row r="29" spans="1:20" x14ac:dyDescent="0.25">
      <c r="A29" s="71"/>
      <c r="B29" s="71"/>
      <c r="C29" s="71" t="s">
        <v>173</v>
      </c>
      <c r="D29" s="71" t="s">
        <v>50</v>
      </c>
      <c r="E29" s="69"/>
      <c r="F29" s="69"/>
      <c r="G29" s="69"/>
      <c r="H29" s="69"/>
      <c r="I29" s="60"/>
      <c r="J29" s="60"/>
      <c r="K29" s="69"/>
      <c r="L29" s="60"/>
      <c r="M29" s="147">
        <f>'POSEBNI DIO'!N67</f>
        <v>0</v>
      </c>
      <c r="N29" s="147">
        <f>O29-M29</f>
        <v>1740</v>
      </c>
      <c r="O29" s="147">
        <f>'POSEBNI DIO'!P67</f>
        <v>1740</v>
      </c>
      <c r="P29" s="60"/>
      <c r="Q29" s="60"/>
    </row>
    <row r="30" spans="1:20" s="227" customFormat="1" x14ac:dyDescent="0.25">
      <c r="A30" s="74"/>
      <c r="B30" s="74">
        <v>32</v>
      </c>
      <c r="C30" s="74"/>
      <c r="D30" s="74" t="s">
        <v>37</v>
      </c>
      <c r="E30" s="225" t="e">
        <f>E31+E32</f>
        <v>#REF!</v>
      </c>
      <c r="F30" s="225" t="e">
        <f>F31+F32</f>
        <v>#REF!</v>
      </c>
      <c r="G30" s="225" t="e">
        <f>G31+G32</f>
        <v>#REF!</v>
      </c>
      <c r="H30" s="225" t="e">
        <f>H31+H32</f>
        <v>#REF!</v>
      </c>
      <c r="I30" s="226" t="e">
        <f t="shared" ref="I30:L30" si="19">I31+I32</f>
        <v>#REF!</v>
      </c>
      <c r="J30" s="226" t="e">
        <f t="shared" si="19"/>
        <v>#REF!</v>
      </c>
      <c r="K30" s="225" t="e">
        <f t="shared" ref="K30" si="20">K31+K32</f>
        <v>#REF!</v>
      </c>
      <c r="L30" s="226" t="e">
        <f t="shared" si="19"/>
        <v>#REF!</v>
      </c>
      <c r="M30" s="226">
        <f>M31+M32+M33</f>
        <v>13650</v>
      </c>
      <c r="N30" s="226">
        <f t="shared" si="18"/>
        <v>535</v>
      </c>
      <c r="O30" s="226">
        <f>O31+O32+O33</f>
        <v>14185</v>
      </c>
      <c r="P30" s="226" t="e">
        <f t="shared" ref="P30:Q30" si="21">P31+P32</f>
        <v>#REF!</v>
      </c>
      <c r="Q30" s="226" t="e">
        <f t="shared" si="21"/>
        <v>#REF!</v>
      </c>
    </row>
    <row r="31" spans="1:20" x14ac:dyDescent="0.25">
      <c r="A31" s="71"/>
      <c r="B31" s="71"/>
      <c r="C31" s="71" t="s">
        <v>171</v>
      </c>
      <c r="D31" s="71" t="s">
        <v>14</v>
      </c>
      <c r="E31" s="69">
        <f>'POSEBNI DIO'!E19</f>
        <v>6400</v>
      </c>
      <c r="F31" s="69" t="e">
        <f>'POSEBNI DIO'!F19</f>
        <v>#REF!</v>
      </c>
      <c r="G31" s="69">
        <f>'POSEBNI DIO'!G19</f>
        <v>4000</v>
      </c>
      <c r="H31" s="69" t="e">
        <f>'POSEBNI DIO'!H19</f>
        <v>#REF!</v>
      </c>
      <c r="I31" s="60" t="e">
        <f>'POSEBNI DIO'!J19</f>
        <v>#REF!</v>
      </c>
      <c r="J31" s="60" t="e">
        <f>'POSEBNI DIO'!K19</f>
        <v>#REF!</v>
      </c>
      <c r="K31" s="69">
        <f>'POSEBNI DIO'!L19</f>
        <v>1712</v>
      </c>
      <c r="L31" s="60">
        <f>'POSEBNI DIO'!M19</f>
        <v>1000</v>
      </c>
      <c r="M31" s="147">
        <f>'POSEBNI DIO'!N24</f>
        <v>13450</v>
      </c>
      <c r="N31" s="147">
        <f t="shared" ref="N31" si="22">O31-M31</f>
        <v>-1100</v>
      </c>
      <c r="O31" s="147">
        <f>'POSEBNI DIO'!P24</f>
        <v>12350</v>
      </c>
      <c r="P31" s="60">
        <f>'POSEBNI DIO'!Q19</f>
        <v>1000</v>
      </c>
      <c r="Q31" s="60">
        <f>'POSEBNI DIO'!R19</f>
        <v>1000</v>
      </c>
    </row>
    <row r="32" spans="1:20" ht="25.5" x14ac:dyDescent="0.25">
      <c r="A32" s="71"/>
      <c r="B32" s="71"/>
      <c r="C32" s="71" t="s">
        <v>172</v>
      </c>
      <c r="D32" s="230" t="s">
        <v>51</v>
      </c>
      <c r="E32" s="69" t="e">
        <f>'POSEBNI DIO'!#REF!-' Račun prihoda i rashoda'!E36</f>
        <v>#REF!</v>
      </c>
      <c r="F32" s="69" t="e">
        <f>'POSEBNI DIO'!#REF!-' Račun prihoda i rashoda'!F36</f>
        <v>#REF!</v>
      </c>
      <c r="G32" s="69" t="e">
        <f>'POSEBNI DIO'!#REF!-' Račun prihoda i rashoda'!G36</f>
        <v>#REF!</v>
      </c>
      <c r="H32" s="69" t="e">
        <f>'POSEBNI DIO'!#REF!-' Račun prihoda i rashoda'!H36</f>
        <v>#REF!</v>
      </c>
      <c r="I32" s="60" t="e">
        <f>'POSEBNI DIO'!#REF!-' Račun prihoda i rashoda'!I36</f>
        <v>#REF!</v>
      </c>
      <c r="J32" s="60" t="e">
        <f>'POSEBNI DIO'!#REF!-' Račun prihoda i rashoda'!J36</f>
        <v>#REF!</v>
      </c>
      <c r="K32" s="69" t="e">
        <f>'POSEBNI DIO'!#REF!-' Račun prihoda i rashoda'!K36</f>
        <v>#REF!</v>
      </c>
      <c r="L32" s="60" t="e">
        <f>'POSEBNI DIO'!#REF!-' Račun prihoda i rashoda'!L36</f>
        <v>#REF!</v>
      </c>
      <c r="M32" s="147">
        <f>'POSEBNI DIO'!N59</f>
        <v>200</v>
      </c>
      <c r="N32" s="147">
        <f t="shared" si="18"/>
        <v>0</v>
      </c>
      <c r="O32" s="147">
        <f>'POSEBNI DIO'!P59</f>
        <v>200</v>
      </c>
      <c r="P32" s="60" t="e">
        <f>'POSEBNI DIO'!#REF!-' Račun prihoda i rashoda'!P36</f>
        <v>#REF!</v>
      </c>
      <c r="Q32" s="60" t="e">
        <f>'POSEBNI DIO'!#REF!-' Račun prihoda i rashoda'!Q36</f>
        <v>#REF!</v>
      </c>
    </row>
    <row r="33" spans="1:19" x14ac:dyDescent="0.25">
      <c r="A33" s="71"/>
      <c r="B33" s="71"/>
      <c r="C33" s="71" t="s">
        <v>173</v>
      </c>
      <c r="D33" s="71" t="s">
        <v>50</v>
      </c>
      <c r="E33" s="69"/>
      <c r="F33" s="69"/>
      <c r="G33" s="69"/>
      <c r="H33" s="69"/>
      <c r="I33" s="60"/>
      <c r="J33" s="60"/>
      <c r="K33" s="69"/>
      <c r="L33" s="60"/>
      <c r="M33" s="147">
        <f>'POSEBNI DIO'!N72</f>
        <v>0</v>
      </c>
      <c r="N33" s="147">
        <f>O33-M33</f>
        <v>1635</v>
      </c>
      <c r="O33" s="147">
        <f>'POSEBNI DIO'!P72</f>
        <v>1635</v>
      </c>
      <c r="P33" s="60"/>
      <c r="Q33" s="60"/>
    </row>
    <row r="34" spans="1:19" s="177" customFormat="1" x14ac:dyDescent="0.25">
      <c r="A34" s="74"/>
      <c r="B34" s="74">
        <v>34</v>
      </c>
      <c r="C34" s="224"/>
      <c r="D34" s="41" t="s">
        <v>87</v>
      </c>
      <c r="E34" s="228">
        <f>E36</f>
        <v>2525.79</v>
      </c>
      <c r="F34" s="228" t="e">
        <f>F36</f>
        <v>#REF!</v>
      </c>
      <c r="G34" s="228">
        <f t="shared" ref="G34:I34" si="23">G36</f>
        <v>2800</v>
      </c>
      <c r="H34" s="228" t="e">
        <f t="shared" si="23"/>
        <v>#REF!</v>
      </c>
      <c r="I34" s="229" t="e">
        <f t="shared" si="23"/>
        <v>#REF!</v>
      </c>
      <c r="J34" s="229" t="e">
        <f t="shared" ref="J34" si="24">J36</f>
        <v>#REF!</v>
      </c>
      <c r="K34" s="228">
        <f t="shared" ref="K34:Q34" si="25">K36</f>
        <v>450.84</v>
      </c>
      <c r="L34" s="229">
        <f t="shared" si="25"/>
        <v>380</v>
      </c>
      <c r="M34" s="226">
        <f>M35+M36</f>
        <v>400</v>
      </c>
      <c r="N34" s="226">
        <f t="shared" si="18"/>
        <v>0</v>
      </c>
      <c r="O34" s="226">
        <f>O35+O36</f>
        <v>400</v>
      </c>
      <c r="P34" s="229">
        <f t="shared" si="25"/>
        <v>400</v>
      </c>
      <c r="Q34" s="229">
        <f t="shared" si="25"/>
        <v>400</v>
      </c>
    </row>
    <row r="35" spans="1:19" x14ac:dyDescent="0.25">
      <c r="A35" s="71"/>
      <c r="B35" s="71"/>
      <c r="C35" s="71" t="s">
        <v>171</v>
      </c>
      <c r="D35" s="71" t="s">
        <v>14</v>
      </c>
      <c r="E35" s="69">
        <f>'POSEBNI DIO'!E22</f>
        <v>32005.32</v>
      </c>
      <c r="F35" s="69" t="e">
        <f>'POSEBNI DIO'!F22</f>
        <v>#REF!</v>
      </c>
      <c r="G35" s="69">
        <f>'POSEBNI DIO'!G22</f>
        <v>36135</v>
      </c>
      <c r="H35" s="69" t="e">
        <f>'POSEBNI DIO'!H22</f>
        <v>#REF!</v>
      </c>
      <c r="I35" s="60" t="e">
        <f>'POSEBNI DIO'!J22</f>
        <v>#REF!</v>
      </c>
      <c r="J35" s="60" t="e">
        <f>'POSEBNI DIO'!K22</f>
        <v>#REF!</v>
      </c>
      <c r="K35" s="69">
        <f>'POSEBNI DIO'!L22</f>
        <v>4602.22</v>
      </c>
      <c r="L35" s="60">
        <f>'POSEBNI DIO'!M22</f>
        <v>5040</v>
      </c>
      <c r="M35" s="147">
        <f>'POSEBNI DIO'!N53</f>
        <v>0</v>
      </c>
      <c r="N35" s="147">
        <f t="shared" ref="N35" si="26">O35-M35</f>
        <v>100</v>
      </c>
      <c r="O35" s="147">
        <f>'POSEBNI DIO'!P53</f>
        <v>100</v>
      </c>
      <c r="P35" s="60">
        <f>'POSEBNI DIO'!Q22</f>
        <v>5390</v>
      </c>
      <c r="Q35" s="60">
        <f>'POSEBNI DIO'!R22</f>
        <v>5520</v>
      </c>
    </row>
    <row r="36" spans="1:19" ht="25.5" x14ac:dyDescent="0.25">
      <c r="A36" s="71"/>
      <c r="B36" s="71"/>
      <c r="C36" s="71" t="s">
        <v>172</v>
      </c>
      <c r="D36" s="230" t="s">
        <v>51</v>
      </c>
      <c r="E36" s="69">
        <f>'POSEBNI DIO'!E53</f>
        <v>2525.79</v>
      </c>
      <c r="F36" s="69" t="e">
        <f>'POSEBNI DIO'!F53</f>
        <v>#REF!</v>
      </c>
      <c r="G36" s="73">
        <f>'POSEBNI DIO'!G53</f>
        <v>2800</v>
      </c>
      <c r="H36" s="73" t="e">
        <f>'POSEBNI DIO'!H53</f>
        <v>#REF!</v>
      </c>
      <c r="I36" s="61" t="e">
        <f>'POSEBNI DIO'!J53</f>
        <v>#REF!</v>
      </c>
      <c r="J36" s="61" t="e">
        <f>'POSEBNI DIO'!K53</f>
        <v>#REF!</v>
      </c>
      <c r="K36" s="73">
        <f>'POSEBNI DIO'!L53</f>
        <v>450.84</v>
      </c>
      <c r="L36" s="61">
        <f>'POSEBNI DIO'!M53</f>
        <v>380</v>
      </c>
      <c r="M36" s="148">
        <f>'POSEBNI DIO'!N62</f>
        <v>400</v>
      </c>
      <c r="N36" s="147">
        <f t="shared" si="18"/>
        <v>-100</v>
      </c>
      <c r="O36" s="148">
        <f>'POSEBNI DIO'!P62</f>
        <v>300</v>
      </c>
      <c r="P36" s="61">
        <f>'POSEBNI DIO'!Q53</f>
        <v>400</v>
      </c>
      <c r="Q36" s="61">
        <f>'POSEBNI DIO'!R53</f>
        <v>400</v>
      </c>
    </row>
    <row r="37" spans="1:19" ht="25.5" x14ac:dyDescent="0.25">
      <c r="A37" s="240">
        <v>4</v>
      </c>
      <c r="B37" s="240"/>
      <c r="C37" s="240"/>
      <c r="D37" s="241" t="s">
        <v>20</v>
      </c>
      <c r="E37" s="237" t="e">
        <f>E38+E40</f>
        <v>#REF!</v>
      </c>
      <c r="F37" s="237" t="e">
        <f>F38+F40</f>
        <v>#REF!</v>
      </c>
      <c r="G37" s="237" t="e">
        <f>G38+G40</f>
        <v>#REF!</v>
      </c>
      <c r="H37" s="237" t="e">
        <f>H38+H40</f>
        <v>#REF!</v>
      </c>
      <c r="I37" s="238" t="e">
        <f>I38+I40+I43</f>
        <v>#REF!</v>
      </c>
      <c r="J37" s="238" t="e">
        <f>J38+J40+J43</f>
        <v>#REF!</v>
      </c>
      <c r="K37" s="237" t="e">
        <f>K38+K40+K43</f>
        <v>#REF!</v>
      </c>
      <c r="L37" s="238" t="e">
        <f>L38+L40+L43</f>
        <v>#REF!</v>
      </c>
      <c r="M37" s="239">
        <f>M40+M43</f>
        <v>8000</v>
      </c>
      <c r="N37" s="239">
        <f t="shared" si="18"/>
        <v>157900</v>
      </c>
      <c r="O37" s="239">
        <f>O40+O43</f>
        <v>165900</v>
      </c>
      <c r="P37" s="60" t="e">
        <f>P38+P40+P43</f>
        <v>#REF!</v>
      </c>
      <c r="Q37" s="60" t="e">
        <f>Q38+Q40+Q43</f>
        <v>#REF!</v>
      </c>
    </row>
    <row r="38" spans="1:19" ht="38.25" hidden="1" x14ac:dyDescent="0.25">
      <c r="A38" s="70"/>
      <c r="B38" s="70">
        <v>41</v>
      </c>
      <c r="C38" s="70"/>
      <c r="D38" s="78" t="s">
        <v>21</v>
      </c>
      <c r="E38" s="60"/>
      <c r="F38" s="60"/>
      <c r="G38" s="61"/>
      <c r="H38" s="61"/>
      <c r="I38" s="61"/>
      <c r="J38" s="61"/>
      <c r="K38" s="132"/>
      <c r="L38" s="62"/>
      <c r="M38" s="149"/>
      <c r="N38" s="147">
        <f t="shared" si="18"/>
        <v>0</v>
      </c>
      <c r="O38" s="149"/>
      <c r="P38" s="62"/>
      <c r="Q38" s="62"/>
    </row>
    <row r="39" spans="1:19" hidden="1" x14ac:dyDescent="0.25">
      <c r="A39" s="70"/>
      <c r="B39" s="70"/>
      <c r="C39" s="72">
        <v>11</v>
      </c>
      <c r="D39" s="72" t="s">
        <v>14</v>
      </c>
      <c r="E39" s="60"/>
      <c r="F39" s="60"/>
      <c r="G39" s="61"/>
      <c r="H39" s="61"/>
      <c r="I39" s="61"/>
      <c r="J39" s="61"/>
      <c r="K39" s="132"/>
      <c r="L39" s="62"/>
      <c r="M39" s="149"/>
      <c r="N39" s="147">
        <f t="shared" si="18"/>
        <v>0</v>
      </c>
      <c r="O39" s="149"/>
      <c r="P39" s="62"/>
      <c r="Q39" s="62"/>
    </row>
    <row r="40" spans="1:19" s="177" customFormat="1" ht="39" x14ac:dyDescent="0.25">
      <c r="A40" s="232"/>
      <c r="B40" s="68">
        <v>42</v>
      </c>
      <c r="C40" s="232"/>
      <c r="D40" s="41" t="s">
        <v>52</v>
      </c>
      <c r="E40" s="228" t="e">
        <f t="shared" ref="E40:M40" si="27">E41+E42</f>
        <v>#REF!</v>
      </c>
      <c r="F40" s="228" t="e">
        <f t="shared" si="27"/>
        <v>#REF!</v>
      </c>
      <c r="G40" s="228" t="e">
        <f t="shared" si="27"/>
        <v>#REF!</v>
      </c>
      <c r="H40" s="228" t="e">
        <f t="shared" si="27"/>
        <v>#REF!</v>
      </c>
      <c r="I40" s="229" t="e">
        <f t="shared" si="27"/>
        <v>#REF!</v>
      </c>
      <c r="J40" s="229" t="e">
        <f t="shared" si="27"/>
        <v>#REF!</v>
      </c>
      <c r="K40" s="228" t="e">
        <f t="shared" si="27"/>
        <v>#REF!</v>
      </c>
      <c r="L40" s="229" t="e">
        <f t="shared" si="27"/>
        <v>#REF!</v>
      </c>
      <c r="M40" s="226">
        <f t="shared" si="27"/>
        <v>8000</v>
      </c>
      <c r="N40" s="226">
        <f t="shared" si="18"/>
        <v>3000</v>
      </c>
      <c r="O40" s="226">
        <f>O41+O42</f>
        <v>11000</v>
      </c>
      <c r="P40" s="229" t="e">
        <f>P41+P42</f>
        <v>#REF!</v>
      </c>
      <c r="Q40" s="229" t="e">
        <f>Q41+Q42</f>
        <v>#REF!</v>
      </c>
    </row>
    <row r="41" spans="1:19" x14ac:dyDescent="0.25">
      <c r="A41" s="79"/>
      <c r="B41" s="79"/>
      <c r="C41" s="71" t="s">
        <v>171</v>
      </c>
      <c r="D41" s="71" t="s">
        <v>14</v>
      </c>
      <c r="E41" s="75" t="e">
        <f>'POSEBNI DIO'!E78+'POSEBNI DIO'!E95</f>
        <v>#REF!</v>
      </c>
      <c r="F41" s="75" t="e">
        <f>'POSEBNI DIO'!F78+'POSEBNI DIO'!F95</f>
        <v>#REF!</v>
      </c>
      <c r="G41" s="75" t="e">
        <f>'POSEBNI DIO'!G78+'POSEBNI DIO'!G95</f>
        <v>#REF!</v>
      </c>
      <c r="H41" s="75" t="e">
        <f>'POSEBNI DIO'!H78+'POSEBNI DIO'!H95</f>
        <v>#REF!</v>
      </c>
      <c r="I41" s="76" t="e">
        <f>'POSEBNI DIO'!J78+'POSEBNI DIO'!J95-'POSEBNI DIO'!J83</f>
        <v>#REF!</v>
      </c>
      <c r="J41" s="76" t="e">
        <f>'POSEBNI DIO'!K78+'POSEBNI DIO'!K95-'POSEBNI DIO'!K83</f>
        <v>#REF!</v>
      </c>
      <c r="K41" s="75">
        <f>'POSEBNI DIO'!L78+'POSEBNI DIO'!L95-K44</f>
        <v>568.08000000000004</v>
      </c>
      <c r="L41" s="76" t="e">
        <f>'POSEBNI DIO'!M78+'POSEBNI DIO'!M95-L44</f>
        <v>#REF!</v>
      </c>
      <c r="M41" s="150">
        <f>'POSEBNI DIO'!N80</f>
        <v>0</v>
      </c>
      <c r="N41" s="147">
        <f t="shared" si="18"/>
        <v>800</v>
      </c>
      <c r="O41" s="150">
        <f>'POSEBNI DIO'!P80</f>
        <v>800</v>
      </c>
      <c r="P41" s="76" t="e">
        <f>'POSEBNI DIO'!Q78+'POSEBNI DIO'!Q95-P44</f>
        <v>#REF!</v>
      </c>
      <c r="Q41" s="76" t="e">
        <f>'POSEBNI DIO'!R78+'POSEBNI DIO'!R95-Q44</f>
        <v>#REF!</v>
      </c>
    </row>
    <row r="42" spans="1:19" x14ac:dyDescent="0.25">
      <c r="A42" s="79"/>
      <c r="B42" s="79"/>
      <c r="C42" s="71" t="s">
        <v>173</v>
      </c>
      <c r="D42" s="71" t="s">
        <v>50</v>
      </c>
      <c r="E42" s="75" t="e">
        <f>'POSEBNI DIO'!#REF!+'POSEBNI DIO'!E96</f>
        <v>#REF!</v>
      </c>
      <c r="F42" s="75" t="e">
        <f>'POSEBNI DIO'!#REF!+'POSEBNI DIO'!F96</f>
        <v>#REF!</v>
      </c>
      <c r="G42" s="75" t="e">
        <f>'POSEBNI DIO'!#REF!+'POSEBNI DIO'!G96</f>
        <v>#REF!</v>
      </c>
      <c r="H42" s="75" t="e">
        <f>'POSEBNI DIO'!#REF!+'POSEBNI DIO'!H96</f>
        <v>#REF!</v>
      </c>
      <c r="I42" s="76" t="e">
        <f>'POSEBNI DIO'!#REF!+'POSEBNI DIO'!J96-'POSEBNI DIO'!J83</f>
        <v>#REF!</v>
      </c>
      <c r="J42" s="76" t="e">
        <f>'POSEBNI DIO'!#REF!+'POSEBNI DIO'!K96</f>
        <v>#REF!</v>
      </c>
      <c r="K42" s="75" t="e">
        <f>'POSEBNI DIO'!#REF!+'POSEBNI DIO'!L96-K45</f>
        <v>#REF!</v>
      </c>
      <c r="L42" s="76" t="e">
        <f>'POSEBNI DIO'!#REF!+'POSEBNI DIO'!M96-L45</f>
        <v>#REF!</v>
      </c>
      <c r="M42" s="150">
        <f>'POSEBNI DIO'!N88</f>
        <v>8000</v>
      </c>
      <c r="N42" s="147">
        <f t="shared" si="18"/>
        <v>2200</v>
      </c>
      <c r="O42" s="150">
        <f>'POSEBNI DIO'!P88</f>
        <v>10200</v>
      </c>
      <c r="P42" s="76" t="e">
        <f>'POSEBNI DIO'!#REF!+'POSEBNI DIO'!Q96-P45</f>
        <v>#REF!</v>
      </c>
      <c r="Q42" s="76" t="e">
        <f>'POSEBNI DIO'!#REF!+'POSEBNI DIO'!R96-Q45</f>
        <v>#REF!</v>
      </c>
    </row>
    <row r="43" spans="1:19" s="177" customFormat="1" ht="25.5" x14ac:dyDescent="0.25">
      <c r="A43" s="232"/>
      <c r="B43" s="114">
        <v>45</v>
      </c>
      <c r="C43" s="232"/>
      <c r="D43" s="68" t="s">
        <v>130</v>
      </c>
      <c r="E43" s="232"/>
      <c r="F43" s="232"/>
      <c r="G43" s="232"/>
      <c r="H43" s="232"/>
      <c r="I43" s="233">
        <f>I44+I45</f>
        <v>0</v>
      </c>
      <c r="J43" s="233">
        <f t="shared" ref="J43:L43" si="28">J44+J45</f>
        <v>13000</v>
      </c>
      <c r="K43" s="234">
        <f t="shared" ref="K43" si="29">K44+K45</f>
        <v>0</v>
      </c>
      <c r="L43" s="233">
        <f t="shared" si="28"/>
        <v>13000</v>
      </c>
      <c r="M43" s="235">
        <f t="shared" ref="M43:Q43" si="30">M44+M45</f>
        <v>0</v>
      </c>
      <c r="N43" s="226">
        <f t="shared" si="18"/>
        <v>154900</v>
      </c>
      <c r="O43" s="235">
        <f t="shared" ref="O43" si="31">O44+O45</f>
        <v>154900</v>
      </c>
      <c r="P43" s="233">
        <f t="shared" si="30"/>
        <v>0</v>
      </c>
      <c r="Q43" s="233">
        <f t="shared" si="30"/>
        <v>0</v>
      </c>
    </row>
    <row r="44" spans="1:19" x14ac:dyDescent="0.25">
      <c r="A44" s="79"/>
      <c r="B44" s="79"/>
      <c r="C44" s="71" t="s">
        <v>171</v>
      </c>
      <c r="D44" s="71" t="s">
        <v>14</v>
      </c>
      <c r="E44" s="75" t="e">
        <f>'POSEBNI DIO'!E80+'POSEBNI DIO'!E98</f>
        <v>#REF!</v>
      </c>
      <c r="F44" s="75" t="e">
        <f>'POSEBNI DIO'!F80+'POSEBNI DIO'!F98</f>
        <v>#REF!</v>
      </c>
      <c r="G44" s="75" t="e">
        <f>'POSEBNI DIO'!G80+'POSEBNI DIO'!G98</f>
        <v>#REF!</v>
      </c>
      <c r="H44" s="75" t="e">
        <f>'POSEBNI DIO'!H80+'POSEBNI DIO'!H98</f>
        <v>#REF!</v>
      </c>
      <c r="I44" s="76">
        <f>'POSEBNI DIO'!J83</f>
        <v>0</v>
      </c>
      <c r="J44" s="76">
        <f>'POSEBNI DIO'!K83</f>
        <v>13000</v>
      </c>
      <c r="K44" s="75">
        <f>'POSEBNI DIO'!L83</f>
        <v>0</v>
      </c>
      <c r="L44" s="76">
        <f>'POSEBNI DIO'!M83</f>
        <v>13000</v>
      </c>
      <c r="M44" s="150">
        <f>'POSEBNI DIO'!N83</f>
        <v>0</v>
      </c>
      <c r="N44" s="147">
        <f t="shared" si="18"/>
        <v>43300</v>
      </c>
      <c r="O44" s="150">
        <f>'POSEBNI DIO'!P83</f>
        <v>43300</v>
      </c>
      <c r="P44" s="76">
        <f>'POSEBNI DIO'!Q83</f>
        <v>0</v>
      </c>
      <c r="Q44" s="76">
        <f>'POSEBNI DIO'!R83</f>
        <v>0</v>
      </c>
    </row>
    <row r="45" spans="1:19" x14ac:dyDescent="0.25">
      <c r="A45" s="79"/>
      <c r="B45" s="79"/>
      <c r="C45" s="71" t="s">
        <v>173</v>
      </c>
      <c r="D45" s="71" t="s">
        <v>50</v>
      </c>
      <c r="E45" s="75" t="e">
        <f>'POSEBNI DIO'!#REF!+'POSEBNI DIO'!E99</f>
        <v>#REF!</v>
      </c>
      <c r="F45" s="75" t="e">
        <f>'POSEBNI DIO'!#REF!+'POSEBNI DIO'!F99</f>
        <v>#REF!</v>
      </c>
      <c r="G45" s="75" t="e">
        <f>'POSEBNI DIO'!#REF!+'POSEBNI DIO'!G99</f>
        <v>#REF!</v>
      </c>
      <c r="H45" s="75" t="e">
        <f>'POSEBNI DIO'!#REF!+'POSEBNI DIO'!H99</f>
        <v>#REF!</v>
      </c>
      <c r="I45" s="76">
        <v>0</v>
      </c>
      <c r="J45" s="76">
        <v>0</v>
      </c>
      <c r="K45" s="75">
        <v>0</v>
      </c>
      <c r="L45" s="76">
        <v>0</v>
      </c>
      <c r="M45" s="150">
        <f>'POSEBNI DIO'!N91</f>
        <v>0</v>
      </c>
      <c r="N45" s="147">
        <f t="shared" si="18"/>
        <v>111600</v>
      </c>
      <c r="O45" s="150">
        <f>'POSEBNI DIO'!P91</f>
        <v>111600</v>
      </c>
      <c r="P45" s="76">
        <v>0</v>
      </c>
      <c r="Q45" s="76">
        <v>0</v>
      </c>
      <c r="S45" s="231"/>
    </row>
    <row r="47" spans="1:19" hidden="1" x14ac:dyDescent="0.25">
      <c r="I47" s="55"/>
      <c r="J47" s="55">
        <f>2515+12850-2500</f>
        <v>12865</v>
      </c>
      <c r="K47" s="142">
        <f>K28+K31+K39+K41+K44</f>
        <v>36486.51</v>
      </c>
      <c r="L47" s="55" t="e">
        <f>L28+L31+L39+L41+L44</f>
        <v>#REF!</v>
      </c>
      <c r="M47" s="55">
        <f>M28+M31+M39+M41+M44</f>
        <v>45550</v>
      </c>
      <c r="N47" s="55"/>
      <c r="O47" s="55">
        <f>O28+O31+O39+O41+O44</f>
        <v>85750</v>
      </c>
      <c r="P47" s="55" t="e">
        <f>P28+P31+P39+P41+P44</f>
        <v>#REF!</v>
      </c>
      <c r="Q47" s="55" t="e">
        <f>Q28+Q31+Q39+Q41+Q44</f>
        <v>#REF!</v>
      </c>
    </row>
    <row r="48" spans="1:19" hidden="1" x14ac:dyDescent="0.25">
      <c r="J48" s="55" t="e">
        <f>J28+J31+J41+J44</f>
        <v>#REF!</v>
      </c>
      <c r="K48" s="142" t="e">
        <f>K32+K36</f>
        <v>#REF!</v>
      </c>
      <c r="L48" s="55" t="e">
        <f>L32+L36</f>
        <v>#REF!</v>
      </c>
      <c r="M48" s="55">
        <f>M32+M36</f>
        <v>600</v>
      </c>
      <c r="N48" s="55"/>
      <c r="O48" s="55">
        <f>O32+O36</f>
        <v>500</v>
      </c>
      <c r="P48" s="55" t="e">
        <f>P32+P36</f>
        <v>#REF!</v>
      </c>
      <c r="Q48" s="55" t="e">
        <f>Q32+Q36</f>
        <v>#REF!</v>
      </c>
    </row>
    <row r="49" spans="11:17" hidden="1" x14ac:dyDescent="0.25">
      <c r="K49" s="142" t="e">
        <f>K42+K45</f>
        <v>#REF!</v>
      </c>
      <c r="L49" s="55" t="e">
        <f t="shared" ref="L49:Q49" si="32">L42+L45</f>
        <v>#REF!</v>
      </c>
      <c r="M49" s="55">
        <f t="shared" si="32"/>
        <v>8000</v>
      </c>
      <c r="N49" s="55"/>
      <c r="O49" s="55">
        <f t="shared" ref="O49" si="33">O42+O45</f>
        <v>121800</v>
      </c>
      <c r="P49" s="55" t="e">
        <f t="shared" si="32"/>
        <v>#REF!</v>
      </c>
      <c r="Q49" s="55" t="e">
        <f t="shared" si="32"/>
        <v>#REF!</v>
      </c>
    </row>
    <row r="50" spans="11:17" hidden="1" x14ac:dyDescent="0.25">
      <c r="K50" s="142" t="e">
        <f>SUM(K47:K49)</f>
        <v>#REF!</v>
      </c>
      <c r="L50" s="55" t="e">
        <f t="shared" ref="L50:Q50" si="34">SUM(L47:L49)</f>
        <v>#REF!</v>
      </c>
      <c r="M50" s="55">
        <f t="shared" si="34"/>
        <v>54150</v>
      </c>
      <c r="N50" s="55"/>
      <c r="O50" s="55">
        <f t="shared" ref="O50" si="35">SUM(O47:O49)</f>
        <v>208050</v>
      </c>
      <c r="P50" s="55" t="e">
        <f t="shared" si="34"/>
        <v>#REF!</v>
      </c>
      <c r="Q50" s="55" t="e">
        <f t="shared" si="34"/>
        <v>#REF!</v>
      </c>
    </row>
  </sheetData>
  <sheetProtection algorithmName="SHA-512" hashValue="BXKlZnzeFFVq+9JU1kQRVZsNL+J5g0n8LhFfhx/CPbnhYuBqn+U3cCcdwFZJxkxkwsRjBEFS9zdlBwYdmfmPxA==" saltValue="3tV3fmRSWX+USRQr4+E5cA==" spinCount="100000" sheet="1" objects="1" scenarios="1"/>
  <mergeCells count="5">
    <mergeCell ref="A3:Q3"/>
    <mergeCell ref="A5:Q5"/>
    <mergeCell ref="A7:Q7"/>
    <mergeCell ref="A23:Q23"/>
    <mergeCell ref="A1:O1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M17"/>
  <sheetViews>
    <sheetView workbookViewId="0">
      <selection activeCell="L12" sqref="L12"/>
    </sheetView>
  </sheetViews>
  <sheetFormatPr defaultRowHeight="15" x14ac:dyDescent="0.25"/>
  <cols>
    <col min="1" max="1" width="37.7109375" customWidth="1"/>
    <col min="2" max="9" width="25.28515625" hidden="1" customWidth="1"/>
    <col min="10" max="12" width="25.28515625" customWidth="1"/>
  </cols>
  <sheetData>
    <row r="1" spans="1:13" ht="42" customHeight="1" x14ac:dyDescent="0.25">
      <c r="A1" s="259" t="s">
        <v>150</v>
      </c>
      <c r="B1" s="259"/>
      <c r="C1" s="259"/>
      <c r="D1" s="259"/>
      <c r="E1" s="259"/>
      <c r="F1" s="259"/>
      <c r="G1" s="259"/>
      <c r="H1" s="259"/>
      <c r="I1" s="259"/>
      <c r="J1" s="259"/>
      <c r="K1" s="259"/>
      <c r="L1" s="259"/>
      <c r="M1" s="67"/>
    </row>
    <row r="2" spans="1:13" ht="18" customHeight="1" x14ac:dyDescent="0.25">
      <c r="A2" s="5"/>
      <c r="B2" s="5"/>
      <c r="C2" s="5"/>
      <c r="D2" s="5"/>
      <c r="E2" s="5"/>
      <c r="F2" s="5"/>
      <c r="G2" s="5"/>
      <c r="H2" s="5"/>
      <c r="I2" s="5"/>
    </row>
    <row r="3" spans="1:13" ht="15.75" x14ac:dyDescent="0.25">
      <c r="A3" s="259" t="s">
        <v>34</v>
      </c>
      <c r="B3" s="259"/>
      <c r="C3" s="259"/>
      <c r="D3" s="259"/>
      <c r="E3" s="259"/>
      <c r="F3" s="259"/>
      <c r="G3" s="259"/>
      <c r="H3" s="259"/>
      <c r="I3" s="259"/>
      <c r="J3" s="259"/>
      <c r="K3" s="259"/>
      <c r="L3" s="259"/>
    </row>
    <row r="4" spans="1:13" ht="18" x14ac:dyDescent="0.25">
      <c r="A4" s="5"/>
      <c r="B4" s="5"/>
      <c r="C4" s="5"/>
      <c r="D4" s="5"/>
      <c r="E4" s="5"/>
      <c r="F4" s="5"/>
      <c r="G4" s="6"/>
      <c r="H4" s="6"/>
      <c r="I4" s="6"/>
    </row>
    <row r="5" spans="1:13" ht="18" customHeight="1" x14ac:dyDescent="0.25">
      <c r="A5" s="259" t="s">
        <v>9</v>
      </c>
      <c r="B5" s="259"/>
      <c r="C5" s="259"/>
      <c r="D5" s="259"/>
      <c r="E5" s="259"/>
      <c r="F5" s="259"/>
      <c r="G5" s="259"/>
      <c r="H5" s="259"/>
      <c r="I5" s="259"/>
      <c r="J5" s="259"/>
      <c r="K5" s="259"/>
      <c r="L5" s="259"/>
    </row>
    <row r="6" spans="1:13" ht="18" x14ac:dyDescent="0.25">
      <c r="A6" s="5"/>
      <c r="B6" s="5"/>
      <c r="C6" s="5"/>
      <c r="D6" s="5"/>
      <c r="E6" s="5"/>
      <c r="F6" s="5"/>
      <c r="G6" s="6"/>
      <c r="H6" s="6"/>
      <c r="I6" s="6"/>
    </row>
    <row r="7" spans="1:13" ht="15.6" customHeight="1" x14ac:dyDescent="0.25">
      <c r="A7" s="259" t="s">
        <v>22</v>
      </c>
      <c r="B7" s="259"/>
      <c r="C7" s="259"/>
      <c r="D7" s="259"/>
      <c r="E7" s="259"/>
      <c r="F7" s="259"/>
      <c r="G7" s="259"/>
      <c r="H7" s="259"/>
      <c r="I7" s="259"/>
      <c r="J7" s="259"/>
      <c r="K7" s="259"/>
      <c r="L7" s="259"/>
    </row>
    <row r="8" spans="1:13" ht="18" x14ac:dyDescent="0.25">
      <c r="A8" s="5"/>
      <c r="B8" s="5"/>
      <c r="C8" s="5"/>
      <c r="D8" s="5"/>
      <c r="E8" s="5"/>
      <c r="F8" s="5"/>
      <c r="G8" s="6"/>
      <c r="H8" s="6"/>
      <c r="I8" s="6"/>
    </row>
    <row r="9" spans="1:13" x14ac:dyDescent="0.25">
      <c r="A9" s="25" t="s">
        <v>23</v>
      </c>
      <c r="B9" s="24" t="s">
        <v>108</v>
      </c>
      <c r="C9" s="24" t="s">
        <v>6</v>
      </c>
      <c r="D9" s="25" t="s">
        <v>113</v>
      </c>
      <c r="E9" s="25" t="s">
        <v>7</v>
      </c>
      <c r="F9" s="25" t="s">
        <v>46</v>
      </c>
      <c r="G9" s="113" t="s">
        <v>129</v>
      </c>
      <c r="H9" s="130" t="s">
        <v>135</v>
      </c>
      <c r="I9" s="130" t="s">
        <v>137</v>
      </c>
      <c r="J9" s="130" t="s">
        <v>147</v>
      </c>
      <c r="K9" s="113" t="s">
        <v>129</v>
      </c>
      <c r="L9" s="113" t="s">
        <v>148</v>
      </c>
    </row>
    <row r="10" spans="1:13" ht="15.75" customHeight="1" x14ac:dyDescent="0.25">
      <c r="A10" s="68" t="s">
        <v>24</v>
      </c>
      <c r="B10" s="60"/>
      <c r="C10" s="69" t="e">
        <f>C11</f>
        <v>#REF!</v>
      </c>
      <c r="D10" s="61"/>
      <c r="E10" s="73" t="e">
        <f>E11</f>
        <v>#REF!</v>
      </c>
      <c r="F10" s="61" t="e">
        <f>F11</f>
        <v>#REF!</v>
      </c>
      <c r="G10" s="61" t="e">
        <f t="shared" ref="G10:L10" si="0">G11</f>
        <v>#REF!</v>
      </c>
      <c r="H10" s="61" t="e">
        <f t="shared" si="0"/>
        <v>#REF!</v>
      </c>
      <c r="I10" s="61" t="e">
        <f t="shared" si="0"/>
        <v>#REF!</v>
      </c>
      <c r="J10" s="61">
        <f t="shared" si="0"/>
        <v>54150</v>
      </c>
      <c r="K10" s="61">
        <f t="shared" si="0"/>
        <v>157375</v>
      </c>
      <c r="L10" s="61">
        <f t="shared" si="0"/>
        <v>211525</v>
      </c>
    </row>
    <row r="11" spans="1:13" ht="15.75" customHeight="1" x14ac:dyDescent="0.25">
      <c r="A11" s="68" t="s">
        <v>114</v>
      </c>
      <c r="B11" s="69" t="e">
        <f>B12</f>
        <v>#REF!</v>
      </c>
      <c r="C11" s="69" t="e">
        <f t="shared" ref="C11:L11" si="1">C12</f>
        <v>#REF!</v>
      </c>
      <c r="D11" s="69" t="e">
        <f t="shared" si="1"/>
        <v>#REF!</v>
      </c>
      <c r="E11" s="69" t="e">
        <f t="shared" si="1"/>
        <v>#REF!</v>
      </c>
      <c r="F11" s="60" t="e">
        <f t="shared" si="1"/>
        <v>#REF!</v>
      </c>
      <c r="G11" s="60" t="e">
        <f t="shared" si="1"/>
        <v>#REF!</v>
      </c>
      <c r="H11" s="60" t="e">
        <f t="shared" si="1"/>
        <v>#REF!</v>
      </c>
      <c r="I11" s="60" t="e">
        <f t="shared" si="1"/>
        <v>#REF!</v>
      </c>
      <c r="J11" s="60">
        <f t="shared" si="1"/>
        <v>54150</v>
      </c>
      <c r="K11" s="60">
        <f t="shared" si="1"/>
        <v>157375</v>
      </c>
      <c r="L11" s="60">
        <f t="shared" si="1"/>
        <v>211525</v>
      </c>
    </row>
    <row r="12" spans="1:13" ht="28.15" customHeight="1" x14ac:dyDescent="0.25">
      <c r="A12" s="77" t="s">
        <v>115</v>
      </c>
      <c r="B12" s="69" t="e">
        <f>'POSEBNI DIO'!E9</f>
        <v>#REF!</v>
      </c>
      <c r="C12" s="69" t="e">
        <f>'POSEBNI DIO'!F9</f>
        <v>#REF!</v>
      </c>
      <c r="D12" s="73" t="e">
        <f>'POSEBNI DIO'!G9</f>
        <v>#REF!</v>
      </c>
      <c r="E12" s="73" t="e">
        <f>'POSEBNI DIO'!H9</f>
        <v>#REF!</v>
      </c>
      <c r="F12" s="61" t="e">
        <f>'POSEBNI DIO'!J9</f>
        <v>#REF!</v>
      </c>
      <c r="G12" s="61" t="e">
        <f>'POSEBNI DIO'!K9</f>
        <v>#REF!</v>
      </c>
      <c r="H12" s="61" t="e">
        <f>'POSEBNI DIO'!L9</f>
        <v>#REF!</v>
      </c>
      <c r="I12" s="61" t="e">
        <f>'POSEBNI DIO'!M9</f>
        <v>#REF!</v>
      </c>
      <c r="J12" s="61">
        <f>'POSEBNI DIO'!N9</f>
        <v>54150</v>
      </c>
      <c r="K12" s="61">
        <f>'POSEBNI DIO'!O9</f>
        <v>157375</v>
      </c>
      <c r="L12" s="61">
        <f>'POSEBNI DIO'!P9</f>
        <v>211525</v>
      </c>
    </row>
    <row r="13" spans="1:13" ht="15.75" hidden="1" customHeight="1" x14ac:dyDescent="0.25">
      <c r="A13" s="13" t="s">
        <v>25</v>
      </c>
      <c r="B13" s="63"/>
      <c r="C13" s="63"/>
      <c r="D13" s="64"/>
      <c r="E13" s="64"/>
      <c r="F13" s="64"/>
      <c r="G13" s="64"/>
      <c r="H13" s="64"/>
      <c r="I13" s="64"/>
      <c r="J13" s="79"/>
      <c r="K13" s="79"/>
      <c r="L13" s="79"/>
    </row>
    <row r="14" spans="1:13" ht="25.5" hidden="1" x14ac:dyDescent="0.25">
      <c r="A14" s="19" t="s">
        <v>26</v>
      </c>
      <c r="B14" s="63"/>
      <c r="C14" s="63"/>
      <c r="D14" s="64"/>
      <c r="E14" s="64"/>
      <c r="F14" s="64"/>
      <c r="G14" s="64"/>
      <c r="H14" s="64"/>
      <c r="I14" s="64"/>
      <c r="J14" s="79"/>
      <c r="K14" s="79"/>
      <c r="L14" s="79"/>
    </row>
    <row r="15" spans="1:13" hidden="1" x14ac:dyDescent="0.25">
      <c r="A15" s="18" t="s">
        <v>27</v>
      </c>
      <c r="B15" s="63"/>
      <c r="C15" s="63"/>
      <c r="D15" s="64"/>
      <c r="E15" s="64"/>
      <c r="F15" s="64"/>
      <c r="G15" s="64"/>
      <c r="H15" s="64"/>
      <c r="I15" s="64"/>
      <c r="J15" s="79"/>
      <c r="K15" s="79"/>
      <c r="L15" s="79"/>
    </row>
    <row r="16" spans="1:13" hidden="1" x14ac:dyDescent="0.25">
      <c r="A16" s="13" t="s">
        <v>28</v>
      </c>
      <c r="B16" s="63"/>
      <c r="C16" s="63"/>
      <c r="D16" s="64"/>
      <c r="E16" s="64"/>
      <c r="F16" s="64"/>
      <c r="G16" s="64"/>
      <c r="H16" s="64"/>
      <c r="I16" s="65"/>
      <c r="J16" s="79"/>
      <c r="K16" s="79"/>
      <c r="L16" s="79"/>
    </row>
    <row r="17" spans="1:12" ht="25.5" hidden="1" x14ac:dyDescent="0.25">
      <c r="A17" s="20" t="s">
        <v>29</v>
      </c>
      <c r="B17" s="63"/>
      <c r="C17" s="63"/>
      <c r="D17" s="64"/>
      <c r="E17" s="64"/>
      <c r="F17" s="64"/>
      <c r="G17" s="64"/>
      <c r="H17" s="64"/>
      <c r="I17" s="65"/>
      <c r="J17" s="79"/>
      <c r="K17" s="79"/>
      <c r="L17" s="79"/>
    </row>
  </sheetData>
  <sheetProtection algorithmName="SHA-512" hashValue="83jvTu31/mmzkt0PoUerXzMCHIW7Y7f1KSg9/eEkIUTVE5WGgdWCQ++JwdLFEqkD0d3lHEEqzlGD1Bi3D9VZdA==" saltValue="+6ofk49Oh+PudmkBcDxeRA==" spinCount="100000" sheet="1" objects="1" scenarios="1"/>
  <mergeCells count="4">
    <mergeCell ref="A1:L1"/>
    <mergeCell ref="A3:L3"/>
    <mergeCell ref="A5:L5"/>
    <mergeCell ref="A7:L7"/>
  </mergeCells>
  <pageMargins left="0.7" right="0.7" top="0.75" bottom="0.75" header="0.3" footer="0.3"/>
  <pageSetup paperSize="9" scale="7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14"/>
  <sheetViews>
    <sheetView workbookViewId="0">
      <selection activeCell="H16" sqref="H16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3" width="5.42578125" bestFit="1" customWidth="1"/>
    <col min="4" max="4" width="25.28515625" customWidth="1"/>
    <col min="5" max="6" width="25.28515625" hidden="1" customWidth="1"/>
    <col min="7" max="9" width="25.28515625" customWidth="1"/>
    <col min="10" max="11" width="25.28515625" hidden="1" customWidth="1"/>
  </cols>
  <sheetData>
    <row r="1" spans="1:12" ht="42" customHeight="1" x14ac:dyDescent="0.25">
      <c r="A1" s="259" t="s">
        <v>149</v>
      </c>
      <c r="B1" s="259"/>
      <c r="C1" s="259"/>
      <c r="D1" s="259"/>
      <c r="E1" s="259"/>
      <c r="F1" s="259"/>
      <c r="G1" s="259"/>
      <c r="H1" s="259"/>
      <c r="I1" s="259"/>
      <c r="J1" s="259"/>
      <c r="K1" s="259"/>
      <c r="L1" s="259"/>
    </row>
    <row r="2" spans="1:12" ht="18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spans="1:12" ht="15.75" x14ac:dyDescent="0.25">
      <c r="A3" s="259" t="s">
        <v>34</v>
      </c>
      <c r="B3" s="259"/>
      <c r="C3" s="259"/>
      <c r="D3" s="259"/>
      <c r="E3" s="259"/>
      <c r="F3" s="259"/>
      <c r="G3" s="259"/>
      <c r="H3" s="259"/>
      <c r="I3" s="259"/>
      <c r="J3" s="271"/>
      <c r="K3" s="271"/>
    </row>
    <row r="4" spans="1:12" ht="18" x14ac:dyDescent="0.25">
      <c r="A4" s="5"/>
      <c r="B4" s="5"/>
      <c r="C4" s="5"/>
      <c r="D4" s="5"/>
      <c r="E4" s="5"/>
      <c r="F4" s="5"/>
      <c r="G4" s="5"/>
      <c r="H4" s="5"/>
      <c r="I4" s="5"/>
      <c r="J4" s="6"/>
      <c r="K4" s="6"/>
    </row>
    <row r="5" spans="1:12" ht="18" customHeight="1" x14ac:dyDescent="0.25">
      <c r="A5" s="259" t="s">
        <v>30</v>
      </c>
      <c r="B5" s="260"/>
      <c r="C5" s="260"/>
      <c r="D5" s="260"/>
      <c r="E5" s="260"/>
      <c r="F5" s="260"/>
      <c r="G5" s="260"/>
      <c r="H5" s="260"/>
      <c r="I5" s="260"/>
      <c r="J5" s="260"/>
      <c r="K5" s="260"/>
    </row>
    <row r="6" spans="1:12" ht="18" x14ac:dyDescent="0.25">
      <c r="A6" s="5"/>
      <c r="B6" s="5"/>
      <c r="C6" s="5"/>
      <c r="D6" s="5"/>
      <c r="E6" s="5"/>
      <c r="F6" s="5"/>
      <c r="G6" s="5"/>
      <c r="H6" s="5"/>
      <c r="I6" s="5"/>
      <c r="J6" s="6"/>
      <c r="K6" s="6"/>
    </row>
    <row r="7" spans="1:12" ht="25.5" x14ac:dyDescent="0.25">
      <c r="A7" s="25" t="s">
        <v>10</v>
      </c>
      <c r="B7" s="24" t="s">
        <v>11</v>
      </c>
      <c r="C7" s="24" t="s">
        <v>12</v>
      </c>
      <c r="D7" s="24" t="s">
        <v>54</v>
      </c>
      <c r="E7" s="130" t="s">
        <v>135</v>
      </c>
      <c r="F7" s="130" t="s">
        <v>137</v>
      </c>
      <c r="G7" s="130" t="s">
        <v>147</v>
      </c>
      <c r="H7" s="113" t="s">
        <v>129</v>
      </c>
      <c r="I7" s="113" t="s">
        <v>148</v>
      </c>
      <c r="J7" s="130" t="s">
        <v>133</v>
      </c>
      <c r="K7" s="130" t="s">
        <v>134</v>
      </c>
    </row>
    <row r="8" spans="1:12" ht="25.5" x14ac:dyDescent="0.25">
      <c r="A8" s="13">
        <v>8</v>
      </c>
      <c r="B8" s="13"/>
      <c r="C8" s="13"/>
      <c r="D8" s="13" t="s">
        <v>31</v>
      </c>
      <c r="E8" s="10">
        <v>0</v>
      </c>
      <c r="F8" s="11">
        <v>0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</row>
    <row r="9" spans="1:12" x14ac:dyDescent="0.25">
      <c r="A9" s="13"/>
      <c r="B9" s="17">
        <v>84</v>
      </c>
      <c r="C9" s="17"/>
      <c r="D9" s="17" t="s">
        <v>38</v>
      </c>
      <c r="E9" s="10">
        <v>0</v>
      </c>
      <c r="F9" s="11">
        <v>0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</row>
    <row r="10" spans="1:12" ht="25.5" x14ac:dyDescent="0.25">
      <c r="A10" s="14"/>
      <c r="B10" s="14"/>
      <c r="C10" s="15">
        <v>81</v>
      </c>
      <c r="D10" s="19" t="s">
        <v>39</v>
      </c>
      <c r="E10" s="10">
        <v>0</v>
      </c>
      <c r="F10" s="11">
        <v>0</v>
      </c>
      <c r="G10" s="11">
        <v>0</v>
      </c>
      <c r="H10" s="11">
        <v>0</v>
      </c>
      <c r="I10" s="11">
        <v>0</v>
      </c>
      <c r="J10" s="11">
        <v>0</v>
      </c>
      <c r="K10" s="11">
        <v>0</v>
      </c>
    </row>
    <row r="11" spans="1:12" ht="25.5" x14ac:dyDescent="0.25">
      <c r="A11" s="16">
        <v>5</v>
      </c>
      <c r="B11" s="16"/>
      <c r="C11" s="16"/>
      <c r="D11" s="27" t="s">
        <v>32</v>
      </c>
      <c r="E11" s="10">
        <v>0</v>
      </c>
      <c r="F11" s="11">
        <v>0</v>
      </c>
      <c r="G11" s="11">
        <v>0</v>
      </c>
      <c r="H11" s="11">
        <v>0</v>
      </c>
      <c r="I11" s="11">
        <v>0</v>
      </c>
      <c r="J11" s="11">
        <v>0</v>
      </c>
      <c r="K11" s="11">
        <v>0</v>
      </c>
    </row>
    <row r="12" spans="1:12" ht="25.5" x14ac:dyDescent="0.25">
      <c r="A12" s="17"/>
      <c r="B12" s="17">
        <v>54</v>
      </c>
      <c r="C12" s="17"/>
      <c r="D12" s="28" t="s">
        <v>40</v>
      </c>
      <c r="E12" s="10">
        <v>0</v>
      </c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</row>
    <row r="13" spans="1:12" x14ac:dyDescent="0.25">
      <c r="A13" s="17"/>
      <c r="B13" s="17"/>
      <c r="C13" s="15">
        <v>11</v>
      </c>
      <c r="D13" s="15" t="s">
        <v>14</v>
      </c>
      <c r="E13" s="10">
        <v>0</v>
      </c>
      <c r="F13" s="11">
        <v>0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</row>
    <row r="14" spans="1:12" x14ac:dyDescent="0.25">
      <c r="A14" s="17"/>
      <c r="B14" s="17"/>
      <c r="C14" s="15">
        <v>31</v>
      </c>
      <c r="D14" s="15" t="s">
        <v>41</v>
      </c>
      <c r="E14" s="10">
        <v>0</v>
      </c>
      <c r="F14" s="11">
        <v>0</v>
      </c>
      <c r="G14" s="11">
        <v>0</v>
      </c>
      <c r="H14" s="11">
        <v>0</v>
      </c>
      <c r="I14" s="11">
        <v>0</v>
      </c>
      <c r="J14" s="11">
        <v>0</v>
      </c>
      <c r="K14" s="11">
        <v>0</v>
      </c>
    </row>
  </sheetData>
  <sheetProtection algorithmName="SHA-512" hashValue="zs0VpeSArMA25IkIdoRn+Uo+dvyktu9fRv7BJOq4BUQ7Co0/HMjNf+dnlqOPhBuaXaSP2IqMgi+HNrAAOskt1g==" saltValue="NME2N+J+xi0T+Bvev07GqQ==" spinCount="100000" sheet="1" objects="1" scenarios="1"/>
  <mergeCells count="3">
    <mergeCell ref="A3:K3"/>
    <mergeCell ref="A5:K5"/>
    <mergeCell ref="A1:L1"/>
  </mergeCells>
  <pageMargins left="0.7" right="0.7" top="0.75" bottom="0.75" header="0.3" footer="0.3"/>
  <pageSetup paperSize="9" scale="71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T118"/>
  <sheetViews>
    <sheetView tabSelected="1" workbookViewId="0">
      <selection activeCell="X122" sqref="X122"/>
    </sheetView>
  </sheetViews>
  <sheetFormatPr defaultRowHeight="15" x14ac:dyDescent="0.25"/>
  <cols>
    <col min="1" max="1" width="7.42578125" style="103" customWidth="1"/>
    <col min="2" max="2" width="8.42578125" style="103" bestFit="1" customWidth="1"/>
    <col min="3" max="3" width="10.42578125" style="103" customWidth="1"/>
    <col min="4" max="4" width="40.5703125" style="103" bestFit="1" customWidth="1"/>
    <col min="5" max="9" width="17.7109375" style="103" hidden="1" customWidth="1"/>
    <col min="10" max="13" width="17.7109375" style="123" hidden="1" customWidth="1"/>
    <col min="14" max="16" width="17.7109375" style="151" customWidth="1"/>
    <col min="17" max="18" width="17.7109375" style="103" hidden="1" customWidth="1"/>
  </cols>
  <sheetData>
    <row r="1" spans="1:20" ht="42" customHeight="1" x14ac:dyDescent="0.25">
      <c r="A1" s="259" t="s">
        <v>146</v>
      </c>
      <c r="B1" s="259"/>
      <c r="C1" s="259"/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  <c r="O1" s="259"/>
      <c r="P1" s="259"/>
      <c r="Q1" s="259"/>
      <c r="R1" s="259"/>
    </row>
    <row r="2" spans="1:20" x14ac:dyDescent="0.25">
      <c r="A2" s="121"/>
      <c r="B2" s="121"/>
      <c r="C2" s="121"/>
      <c r="D2" s="121"/>
      <c r="E2" s="121"/>
      <c r="F2" s="121"/>
      <c r="G2" s="121"/>
      <c r="H2" s="121"/>
      <c r="I2" s="121"/>
      <c r="J2" s="122"/>
      <c r="K2" s="58"/>
      <c r="L2" s="58"/>
      <c r="M2" s="58"/>
    </row>
    <row r="3" spans="1:20" ht="18" customHeight="1" x14ac:dyDescent="0.25">
      <c r="A3" s="279" t="s">
        <v>33</v>
      </c>
      <c r="B3" s="279"/>
      <c r="C3" s="279"/>
      <c r="D3" s="279"/>
      <c r="E3" s="279"/>
      <c r="F3" s="279"/>
      <c r="G3" s="279"/>
      <c r="H3" s="279"/>
      <c r="I3" s="279"/>
      <c r="J3" s="279"/>
      <c r="K3" s="279"/>
      <c r="L3" s="279"/>
      <c r="M3" s="279"/>
      <c r="N3" s="279"/>
      <c r="O3" s="279"/>
      <c r="P3" s="279"/>
      <c r="Q3" s="279"/>
      <c r="R3" s="279"/>
    </row>
    <row r="4" spans="1:20" x14ac:dyDescent="0.25">
      <c r="A4" s="121"/>
      <c r="B4" s="121"/>
      <c r="C4" s="121"/>
      <c r="D4" s="121"/>
      <c r="E4" s="121"/>
      <c r="F4" s="121"/>
      <c r="G4" s="121"/>
      <c r="H4" s="121"/>
      <c r="I4" s="121"/>
      <c r="J4" s="122"/>
      <c r="K4" s="58"/>
      <c r="L4" s="58"/>
      <c r="M4" s="58"/>
    </row>
    <row r="5" spans="1:20" ht="25.5" x14ac:dyDescent="0.25">
      <c r="A5" s="273" t="s">
        <v>35</v>
      </c>
      <c r="B5" s="274"/>
      <c r="C5" s="275"/>
      <c r="D5" s="100" t="s">
        <v>36</v>
      </c>
      <c r="E5" s="100" t="s">
        <v>108</v>
      </c>
      <c r="F5" s="100" t="s">
        <v>6</v>
      </c>
      <c r="G5" s="101" t="s">
        <v>113</v>
      </c>
      <c r="H5" s="101" t="s">
        <v>7</v>
      </c>
      <c r="I5" s="101" t="s">
        <v>107</v>
      </c>
      <c r="J5" s="102" t="s">
        <v>136</v>
      </c>
      <c r="K5" s="102" t="s">
        <v>125</v>
      </c>
      <c r="L5" s="131" t="s">
        <v>135</v>
      </c>
      <c r="M5" s="131" t="s">
        <v>137</v>
      </c>
      <c r="N5" s="165" t="s">
        <v>147</v>
      </c>
      <c r="O5" s="131" t="s">
        <v>129</v>
      </c>
      <c r="P5" s="131" t="s">
        <v>148</v>
      </c>
      <c r="Q5" s="131" t="s">
        <v>133</v>
      </c>
      <c r="R5" s="131" t="s">
        <v>134</v>
      </c>
    </row>
    <row r="6" spans="1:20" x14ac:dyDescent="0.25">
      <c r="A6" s="261" t="s">
        <v>166</v>
      </c>
      <c r="B6" s="262"/>
      <c r="C6" s="263"/>
      <c r="D6" s="168" t="s">
        <v>167</v>
      </c>
      <c r="E6" s="218" t="e">
        <f t="shared" ref="E6:M6" si="0">E13+E77+E95</f>
        <v>#REF!</v>
      </c>
      <c r="F6" s="218" t="e">
        <f t="shared" si="0"/>
        <v>#REF!</v>
      </c>
      <c r="G6" s="218" t="e">
        <f t="shared" si="0"/>
        <v>#REF!</v>
      </c>
      <c r="H6" s="218" t="e">
        <f t="shared" si="0"/>
        <v>#REF!</v>
      </c>
      <c r="I6" s="218" t="e">
        <f t="shared" si="0"/>
        <v>#REF!</v>
      </c>
      <c r="J6" s="219" t="e">
        <f t="shared" si="0"/>
        <v>#REF!</v>
      </c>
      <c r="K6" s="219" t="e">
        <f t="shared" si="0"/>
        <v>#REF!</v>
      </c>
      <c r="L6" s="218" t="e">
        <f t="shared" si="0"/>
        <v>#REF!</v>
      </c>
      <c r="M6" s="219" t="e">
        <f t="shared" si="0"/>
        <v>#REF!</v>
      </c>
      <c r="N6" s="220">
        <f>N7</f>
        <v>54150</v>
      </c>
      <c r="O6" s="220">
        <f>P6-N6</f>
        <v>157375</v>
      </c>
      <c r="P6" s="220">
        <f>P7</f>
        <v>211525</v>
      </c>
      <c r="Q6" s="99" t="e">
        <f>Q13+Q77+Q95</f>
        <v>#REF!</v>
      </c>
      <c r="R6" s="99" t="e">
        <f>R13+R77+R95</f>
        <v>#REF!</v>
      </c>
      <c r="T6" s="142"/>
    </row>
    <row r="7" spans="1:20" x14ac:dyDescent="0.25">
      <c r="A7" s="261" t="s">
        <v>168</v>
      </c>
      <c r="B7" s="262"/>
      <c r="C7" s="263"/>
      <c r="D7" s="168" t="s">
        <v>169</v>
      </c>
      <c r="E7" s="218" t="e">
        <f t="shared" ref="E7:M7" si="1">E14+E78+E96</f>
        <v>#REF!</v>
      </c>
      <c r="F7" s="218" t="e">
        <f t="shared" si="1"/>
        <v>#REF!</v>
      </c>
      <c r="G7" s="218" t="e">
        <f t="shared" si="1"/>
        <v>#REF!</v>
      </c>
      <c r="H7" s="218" t="e">
        <f t="shared" si="1"/>
        <v>#REF!</v>
      </c>
      <c r="I7" s="218" t="e">
        <f t="shared" si="1"/>
        <v>#REF!</v>
      </c>
      <c r="J7" s="219" t="e">
        <f t="shared" si="1"/>
        <v>#REF!</v>
      </c>
      <c r="K7" s="219" t="e">
        <f t="shared" si="1"/>
        <v>#REF!</v>
      </c>
      <c r="L7" s="218">
        <f t="shared" si="1"/>
        <v>45246.69</v>
      </c>
      <c r="M7" s="219" t="e">
        <f t="shared" si="1"/>
        <v>#REF!</v>
      </c>
      <c r="N7" s="220">
        <f>N8</f>
        <v>54150</v>
      </c>
      <c r="O7" s="220">
        <f>P7-N7</f>
        <v>157375</v>
      </c>
      <c r="P7" s="220">
        <f>P8</f>
        <v>211525</v>
      </c>
      <c r="Q7" s="99" t="e">
        <f>Q14+Q78+Q96</f>
        <v>#REF!</v>
      </c>
      <c r="R7" s="99" t="e">
        <f>R14+R78+R96</f>
        <v>#REF!</v>
      </c>
      <c r="T7" s="142"/>
    </row>
    <row r="8" spans="1:20" hidden="1" x14ac:dyDescent="0.25">
      <c r="A8" s="261" t="s">
        <v>170</v>
      </c>
      <c r="B8" s="262"/>
      <c r="C8" s="263"/>
      <c r="D8" s="168" t="s">
        <v>169</v>
      </c>
      <c r="E8" s="218" t="e">
        <f t="shared" ref="E8:M9" si="2">E14+E78+E96</f>
        <v>#REF!</v>
      </c>
      <c r="F8" s="218" t="e">
        <f t="shared" si="2"/>
        <v>#REF!</v>
      </c>
      <c r="G8" s="218" t="e">
        <f t="shared" si="2"/>
        <v>#REF!</v>
      </c>
      <c r="H8" s="218" t="e">
        <f t="shared" si="2"/>
        <v>#REF!</v>
      </c>
      <c r="I8" s="218" t="e">
        <f t="shared" si="2"/>
        <v>#REF!</v>
      </c>
      <c r="J8" s="219" t="e">
        <f t="shared" si="2"/>
        <v>#REF!</v>
      </c>
      <c r="K8" s="219" t="e">
        <f t="shared" si="2"/>
        <v>#REF!</v>
      </c>
      <c r="L8" s="218">
        <f t="shared" si="2"/>
        <v>45246.69</v>
      </c>
      <c r="M8" s="219" t="e">
        <f t="shared" si="2"/>
        <v>#REF!</v>
      </c>
      <c r="N8" s="220">
        <f>N9</f>
        <v>54150</v>
      </c>
      <c r="O8" s="220">
        <f>P8-N8</f>
        <v>157375</v>
      </c>
      <c r="P8" s="220">
        <f>P9</f>
        <v>211525</v>
      </c>
      <c r="Q8" s="99" t="e">
        <f>Q14+Q78+Q96</f>
        <v>#REF!</v>
      </c>
      <c r="R8" s="99" t="e">
        <f>R14+R78+R96</f>
        <v>#REF!</v>
      </c>
      <c r="T8" s="142"/>
    </row>
    <row r="9" spans="1:20" x14ac:dyDescent="0.25">
      <c r="A9" s="289" t="s">
        <v>55</v>
      </c>
      <c r="B9" s="290"/>
      <c r="C9" s="291"/>
      <c r="D9" s="120" t="s">
        <v>58</v>
      </c>
      <c r="E9" s="98" t="e">
        <f t="shared" si="2"/>
        <v>#REF!</v>
      </c>
      <c r="F9" s="98" t="e">
        <f t="shared" si="2"/>
        <v>#REF!</v>
      </c>
      <c r="G9" s="98" t="e">
        <f t="shared" si="2"/>
        <v>#REF!</v>
      </c>
      <c r="H9" s="98" t="e">
        <f t="shared" si="2"/>
        <v>#REF!</v>
      </c>
      <c r="I9" s="98" t="e">
        <f t="shared" si="2"/>
        <v>#REF!</v>
      </c>
      <c r="J9" s="99" t="e">
        <f t="shared" si="2"/>
        <v>#REF!</v>
      </c>
      <c r="K9" s="99" t="e">
        <f t="shared" si="2"/>
        <v>#REF!</v>
      </c>
      <c r="L9" s="98" t="e">
        <f t="shared" si="2"/>
        <v>#REF!</v>
      </c>
      <c r="M9" s="99" t="e">
        <f t="shared" si="2"/>
        <v>#REF!</v>
      </c>
      <c r="N9" s="166">
        <f>N13+N77</f>
        <v>54150</v>
      </c>
      <c r="O9" s="166">
        <f>P9-N9</f>
        <v>157375</v>
      </c>
      <c r="P9" s="166">
        <f>P13+P77</f>
        <v>211525</v>
      </c>
      <c r="Q9" s="99" t="e">
        <f>Q15+Q79+Q97</f>
        <v>#REF!</v>
      </c>
      <c r="R9" s="99" t="e">
        <f>R15+R79+R97</f>
        <v>#REF!</v>
      </c>
      <c r="T9" s="142"/>
    </row>
    <row r="10" spans="1:20" s="177" customFormat="1" ht="25.5" x14ac:dyDescent="0.25">
      <c r="A10" s="276" t="s">
        <v>162</v>
      </c>
      <c r="B10" s="277"/>
      <c r="C10" s="278"/>
      <c r="D10" s="192" t="s">
        <v>105</v>
      </c>
      <c r="E10" s="193" t="e">
        <f t="shared" ref="E10:J10" si="3">E14+E78+E95</f>
        <v>#REF!</v>
      </c>
      <c r="F10" s="193" t="e">
        <f t="shared" si="3"/>
        <v>#REF!</v>
      </c>
      <c r="G10" s="193" t="e">
        <f t="shared" si="3"/>
        <v>#REF!</v>
      </c>
      <c r="H10" s="193" t="e">
        <f t="shared" si="3"/>
        <v>#REF!</v>
      </c>
      <c r="I10" s="193" t="e">
        <f t="shared" si="3"/>
        <v>#REF!</v>
      </c>
      <c r="J10" s="194" t="e">
        <f t="shared" si="3"/>
        <v>#REF!</v>
      </c>
      <c r="K10" s="194" t="e">
        <f>M10-J10</f>
        <v>#REF!</v>
      </c>
      <c r="L10" s="193">
        <f>L14+L78+L95</f>
        <v>45246.69</v>
      </c>
      <c r="M10" s="194" t="e">
        <f>M14+M78+M95</f>
        <v>#REF!</v>
      </c>
      <c r="N10" s="195">
        <f>N14+N78</f>
        <v>45550</v>
      </c>
      <c r="O10" s="195">
        <f>P10-N10</f>
        <v>40300</v>
      </c>
      <c r="P10" s="195">
        <f>P14+P78</f>
        <v>85850</v>
      </c>
      <c r="Q10" s="194" t="e">
        <f>Q14+Q78+Q95</f>
        <v>#REF!</v>
      </c>
      <c r="R10" s="194" t="e">
        <f>R14+R78+R95</f>
        <v>#REF!</v>
      </c>
    </row>
    <row r="11" spans="1:20" s="177" customFormat="1" ht="25.5" x14ac:dyDescent="0.25">
      <c r="A11" s="276" t="s">
        <v>155</v>
      </c>
      <c r="B11" s="277"/>
      <c r="C11" s="278"/>
      <c r="D11" s="192" t="s">
        <v>106</v>
      </c>
      <c r="E11" s="193" t="e">
        <f>#REF!</f>
        <v>#REF!</v>
      </c>
      <c r="F11" s="193" t="e">
        <f>#REF!</f>
        <v>#REF!</v>
      </c>
      <c r="G11" s="193" t="e">
        <f>#REF!</f>
        <v>#REF!</v>
      </c>
      <c r="H11" s="193" t="e">
        <f>#REF!</f>
        <v>#REF!</v>
      </c>
      <c r="I11" s="193" t="e">
        <f>#REF!</f>
        <v>#REF!</v>
      </c>
      <c r="J11" s="194" t="e">
        <f>#REF!</f>
        <v>#REF!</v>
      </c>
      <c r="K11" s="194" t="e">
        <f>M11-J11</f>
        <v>#REF!</v>
      </c>
      <c r="L11" s="193" t="e">
        <f>#REF!</f>
        <v>#REF!</v>
      </c>
      <c r="M11" s="194" t="e">
        <f>#REF!</f>
        <v>#REF!</v>
      </c>
      <c r="N11" s="195">
        <f>N57</f>
        <v>600</v>
      </c>
      <c r="O11" s="195">
        <f t="shared" ref="O11:O12" si="4">P11-N11</f>
        <v>-100</v>
      </c>
      <c r="P11" s="195">
        <f>P57</f>
        <v>500</v>
      </c>
      <c r="Q11" s="194" t="e">
        <f>#REF!</f>
        <v>#REF!</v>
      </c>
      <c r="R11" s="194" t="e">
        <f>#REF!</f>
        <v>#REF!</v>
      </c>
    </row>
    <row r="12" spans="1:20" s="177" customFormat="1" x14ac:dyDescent="0.25">
      <c r="A12" s="295" t="s">
        <v>154</v>
      </c>
      <c r="B12" s="296"/>
      <c r="C12" s="297"/>
      <c r="D12" s="196" t="s">
        <v>104</v>
      </c>
      <c r="E12" s="193" t="e">
        <f>#REF!+E96</f>
        <v>#REF!</v>
      </c>
      <c r="F12" s="193" t="e">
        <f>#REF!+F96</f>
        <v>#REF!</v>
      </c>
      <c r="G12" s="193" t="e">
        <f>#REF!+G96</f>
        <v>#REF!</v>
      </c>
      <c r="H12" s="193" t="e">
        <f>#REF!+H96</f>
        <v>#REF!</v>
      </c>
      <c r="I12" s="193" t="e">
        <f>#REF!+I96</f>
        <v>#REF!</v>
      </c>
      <c r="J12" s="194" t="e">
        <f>#REF!+J96</f>
        <v>#REF!</v>
      </c>
      <c r="K12" s="194" t="e">
        <f>M12-J12</f>
        <v>#REF!</v>
      </c>
      <c r="L12" s="193" t="e">
        <f>#REF!+L96</f>
        <v>#REF!</v>
      </c>
      <c r="M12" s="194" t="e">
        <f>#REF!+M96</f>
        <v>#REF!</v>
      </c>
      <c r="N12" s="195">
        <f>N65+N86</f>
        <v>8000</v>
      </c>
      <c r="O12" s="195">
        <f t="shared" si="4"/>
        <v>117175</v>
      </c>
      <c r="P12" s="195">
        <f>P65+P86</f>
        <v>125175</v>
      </c>
      <c r="Q12" s="194" t="e">
        <f>#REF!+Q96</f>
        <v>#REF!</v>
      </c>
      <c r="R12" s="194" t="e">
        <f>#REF!+R96</f>
        <v>#REF!</v>
      </c>
    </row>
    <row r="13" spans="1:20" ht="25.5" x14ac:dyDescent="0.25">
      <c r="A13" s="292" t="s">
        <v>56</v>
      </c>
      <c r="B13" s="293"/>
      <c r="C13" s="294"/>
      <c r="D13" s="116" t="s">
        <v>57</v>
      </c>
      <c r="E13" s="91" t="e">
        <f>E14+#REF!</f>
        <v>#REF!</v>
      </c>
      <c r="F13" s="91" t="e">
        <f>F14+#REF!</f>
        <v>#REF!</v>
      </c>
      <c r="G13" s="91">
        <f>G15</f>
        <v>337235</v>
      </c>
      <c r="H13" s="91" t="e">
        <f t="shared" ref="H13:M13" si="5">H15</f>
        <v>#REF!</v>
      </c>
      <c r="I13" s="91">
        <f t="shared" si="5"/>
        <v>370648.62</v>
      </c>
      <c r="J13" s="92" t="e">
        <f t="shared" si="5"/>
        <v>#REF!</v>
      </c>
      <c r="K13" s="92" t="e">
        <f t="shared" si="5"/>
        <v>#REF!</v>
      </c>
      <c r="L13" s="91">
        <f t="shared" ref="L13" si="6">L15</f>
        <v>43762.1</v>
      </c>
      <c r="M13" s="92">
        <f t="shared" si="5"/>
        <v>53395</v>
      </c>
      <c r="N13" s="167">
        <f>N14+N57+N65</f>
        <v>46150</v>
      </c>
      <c r="O13" s="167">
        <f>P13-N13</f>
        <v>-525</v>
      </c>
      <c r="P13" s="167">
        <f>P14+P57+P65</f>
        <v>45625</v>
      </c>
      <c r="Q13" s="92">
        <f t="shared" ref="Q13" si="7">Q15</f>
        <v>51220</v>
      </c>
      <c r="R13" s="92">
        <f t="shared" ref="R13" si="8">R15</f>
        <v>52960</v>
      </c>
    </row>
    <row r="14" spans="1:20" s="177" customFormat="1" ht="25.5" x14ac:dyDescent="0.25">
      <c r="A14" s="301" t="s">
        <v>162</v>
      </c>
      <c r="B14" s="302"/>
      <c r="C14" s="303"/>
      <c r="D14" s="186" t="s">
        <v>105</v>
      </c>
      <c r="E14" s="187" t="e">
        <f>284454.86+7466.48-E78</f>
        <v>#REF!</v>
      </c>
      <c r="F14" s="188" t="e">
        <f>ROUND(E14/#REF!, 2)</f>
        <v>#REF!</v>
      </c>
      <c r="G14" s="189" t="e">
        <f>G13-#REF!</f>
        <v>#REF!</v>
      </c>
      <c r="H14" s="189" t="e">
        <f>H13-#REF!</f>
        <v>#REF!</v>
      </c>
      <c r="I14" s="189" t="e">
        <f>I13-#REF!</f>
        <v>#REF!</v>
      </c>
      <c r="J14" s="190" t="e">
        <f>J13-#REF!</f>
        <v>#REF!</v>
      </c>
      <c r="K14" s="190" t="e">
        <f>M14-J14</f>
        <v>#REF!</v>
      </c>
      <c r="L14" s="189">
        <f>336630.96/7.5345</f>
        <v>44678.61</v>
      </c>
      <c r="M14" s="190" t="e">
        <f>M13-#REF!</f>
        <v>#REF!</v>
      </c>
      <c r="N14" s="190">
        <f>N15</f>
        <v>45550</v>
      </c>
      <c r="O14" s="190">
        <f>P14-N14</f>
        <v>-3800</v>
      </c>
      <c r="P14" s="190">
        <f>P15</f>
        <v>41750</v>
      </c>
      <c r="Q14" s="190" t="e">
        <f>Q13-#REF!</f>
        <v>#REF!</v>
      </c>
      <c r="R14" s="190" t="e">
        <f>R13-#REF!</f>
        <v>#REF!</v>
      </c>
      <c r="T14" s="191"/>
    </row>
    <row r="15" spans="1:20" x14ac:dyDescent="0.25">
      <c r="A15" s="304">
        <v>3</v>
      </c>
      <c r="B15" s="304"/>
      <c r="C15" s="304"/>
      <c r="D15" s="117" t="s">
        <v>18</v>
      </c>
      <c r="E15" s="89">
        <f t="shared" ref="E15:N15" si="9">E16+E24+E53</f>
        <v>289531.99</v>
      </c>
      <c r="F15" s="89" t="e">
        <f t="shared" si="9"/>
        <v>#REF!</v>
      </c>
      <c r="G15" s="89">
        <f t="shared" si="9"/>
        <v>337235</v>
      </c>
      <c r="H15" s="89" t="e">
        <f t="shared" si="9"/>
        <v>#REF!</v>
      </c>
      <c r="I15" s="89">
        <f t="shared" si="9"/>
        <v>370648.62</v>
      </c>
      <c r="J15" s="90" t="e">
        <f t="shared" si="9"/>
        <v>#REF!</v>
      </c>
      <c r="K15" s="90" t="e">
        <f t="shared" si="9"/>
        <v>#REF!</v>
      </c>
      <c r="L15" s="89">
        <f t="shared" si="9"/>
        <v>43762.1</v>
      </c>
      <c r="M15" s="90">
        <f t="shared" si="9"/>
        <v>53395</v>
      </c>
      <c r="N15" s="157">
        <f t="shared" si="9"/>
        <v>45550</v>
      </c>
      <c r="O15" s="157">
        <f>P15-N15</f>
        <v>-3800</v>
      </c>
      <c r="P15" s="157">
        <f>P16+P24+P53</f>
        <v>41750</v>
      </c>
      <c r="Q15" s="90">
        <f>Q16+Q24+Q53</f>
        <v>51220</v>
      </c>
      <c r="R15" s="90">
        <f>R16+R24+R53</f>
        <v>52960</v>
      </c>
      <c r="T15" s="142"/>
    </row>
    <row r="16" spans="1:20" x14ac:dyDescent="0.25">
      <c r="A16" s="305">
        <v>31</v>
      </c>
      <c r="B16" s="306"/>
      <c r="C16" s="307"/>
      <c r="D16" s="117" t="s">
        <v>19</v>
      </c>
      <c r="E16" s="89">
        <f>E17+E19+E22</f>
        <v>232377.23</v>
      </c>
      <c r="F16" s="89" t="e">
        <f t="shared" ref="F16:M16" si="10">F17+F19+F22</f>
        <v>#REF!</v>
      </c>
      <c r="G16" s="89">
        <f t="shared" si="10"/>
        <v>259135</v>
      </c>
      <c r="H16" s="89" t="e">
        <f t="shared" si="10"/>
        <v>#REF!</v>
      </c>
      <c r="I16" s="89">
        <f t="shared" si="10"/>
        <v>274028.62</v>
      </c>
      <c r="J16" s="90" t="e">
        <f t="shared" si="10"/>
        <v>#REF!</v>
      </c>
      <c r="K16" s="90" t="e">
        <f t="shared" si="10"/>
        <v>#REF!</v>
      </c>
      <c r="L16" s="89">
        <f t="shared" ref="L16" si="11">L17+L19+L22</f>
        <v>34206.43</v>
      </c>
      <c r="M16" s="90">
        <f t="shared" si="10"/>
        <v>36370</v>
      </c>
      <c r="N16" s="157">
        <f>N17+N19+N22</f>
        <v>32100</v>
      </c>
      <c r="O16" s="157">
        <f t="shared" ref="O16:O54" si="12">P16-N16</f>
        <v>-2800</v>
      </c>
      <c r="P16" s="157">
        <f>P17+P19+P22</f>
        <v>29300</v>
      </c>
      <c r="Q16" s="90">
        <f t="shared" ref="Q16" si="13">Q17+Q19+Q22</f>
        <v>39040</v>
      </c>
      <c r="R16" s="90">
        <f t="shared" ref="R16" si="14">R17+R19+R22</f>
        <v>39970</v>
      </c>
    </row>
    <row r="17" spans="1:20" s="185" customFormat="1" hidden="1" x14ac:dyDescent="0.25">
      <c r="A17" s="309">
        <v>311</v>
      </c>
      <c r="B17" s="309"/>
      <c r="C17" s="309"/>
      <c r="D17" s="44" t="s">
        <v>59</v>
      </c>
      <c r="E17" s="47">
        <f>E18</f>
        <v>193971.91</v>
      </c>
      <c r="F17" s="47" t="e">
        <f t="shared" ref="F17:R17" si="15">F18</f>
        <v>#REF!</v>
      </c>
      <c r="G17" s="47">
        <f t="shared" si="15"/>
        <v>219000</v>
      </c>
      <c r="H17" s="47" t="e">
        <f t="shared" si="15"/>
        <v>#REF!</v>
      </c>
      <c r="I17" s="47">
        <f t="shared" si="15"/>
        <v>230028</v>
      </c>
      <c r="J17" s="56" t="e">
        <f t="shared" si="15"/>
        <v>#REF!</v>
      </c>
      <c r="K17" s="56" t="e">
        <f t="shared" si="15"/>
        <v>#REF!</v>
      </c>
      <c r="L17" s="47">
        <f t="shared" si="15"/>
        <v>27892.21</v>
      </c>
      <c r="M17" s="56">
        <f t="shared" si="15"/>
        <v>30330</v>
      </c>
      <c r="N17" s="56">
        <f>N18</f>
        <v>26700</v>
      </c>
      <c r="O17" s="184">
        <f t="shared" si="12"/>
        <v>-2000</v>
      </c>
      <c r="P17" s="56">
        <f>P18</f>
        <v>24700</v>
      </c>
      <c r="Q17" s="56">
        <f t="shared" si="15"/>
        <v>32650</v>
      </c>
      <c r="R17" s="56">
        <f t="shared" si="15"/>
        <v>33450</v>
      </c>
    </row>
    <row r="18" spans="1:20" ht="14.25" hidden="1" customHeight="1" x14ac:dyDescent="0.25">
      <c r="A18" s="313">
        <v>3111</v>
      </c>
      <c r="B18" s="313"/>
      <c r="C18" s="313"/>
      <c r="D18" s="43" t="s">
        <v>59</v>
      </c>
      <c r="E18" s="48">
        <v>193971.91</v>
      </c>
      <c r="F18" s="69" t="e">
        <f>ROUND(E18/#REF!, 2)</f>
        <v>#REF!</v>
      </c>
      <c r="G18" s="48">
        <v>219000</v>
      </c>
      <c r="H18" s="69" t="e">
        <f>ROUND(G18/#REF!, 2)</f>
        <v>#REF!</v>
      </c>
      <c r="I18" s="48">
        <v>230028</v>
      </c>
      <c r="J18" s="60" t="e">
        <f>ROUND(I18/#REF!, 2)</f>
        <v>#REF!</v>
      </c>
      <c r="K18" s="61" t="e">
        <f>M18-J18</f>
        <v>#REF!</v>
      </c>
      <c r="L18" s="132">
        <f>210153.88/7.5345</f>
        <v>27892.21</v>
      </c>
      <c r="M18" s="62">
        <v>30330</v>
      </c>
      <c r="N18" s="154">
        <v>26700</v>
      </c>
      <c r="O18" s="211">
        <f>P18-N18</f>
        <v>-2000</v>
      </c>
      <c r="P18" s="154">
        <v>24700</v>
      </c>
      <c r="Q18" s="62">
        <v>32650</v>
      </c>
      <c r="R18" s="62">
        <v>33450</v>
      </c>
    </row>
    <row r="19" spans="1:20" s="185" customFormat="1" hidden="1" x14ac:dyDescent="0.25">
      <c r="A19" s="309">
        <v>312</v>
      </c>
      <c r="B19" s="309"/>
      <c r="C19" s="309"/>
      <c r="D19" s="44" t="s">
        <v>60</v>
      </c>
      <c r="E19" s="47">
        <f>E20+E21</f>
        <v>6400</v>
      </c>
      <c r="F19" s="47" t="e">
        <f t="shared" ref="F19:I19" si="16">F20+F21</f>
        <v>#REF!</v>
      </c>
      <c r="G19" s="47">
        <f t="shared" si="16"/>
        <v>4000</v>
      </c>
      <c r="H19" s="47" t="e">
        <f t="shared" si="16"/>
        <v>#REF!</v>
      </c>
      <c r="I19" s="47">
        <f t="shared" si="16"/>
        <v>6026</v>
      </c>
      <c r="J19" s="56" t="e">
        <f t="shared" ref="J19" si="17">J20+J21</f>
        <v>#REF!</v>
      </c>
      <c r="K19" s="56" t="e">
        <f t="shared" ref="K19" si="18">K20+K21</f>
        <v>#REF!</v>
      </c>
      <c r="L19" s="47">
        <f t="shared" ref="L19:M19" si="19">L20+L21</f>
        <v>1712</v>
      </c>
      <c r="M19" s="56">
        <f t="shared" si="19"/>
        <v>1000</v>
      </c>
      <c r="N19" s="56">
        <f>SUM(N20:N21)</f>
        <v>1000</v>
      </c>
      <c r="O19" s="184">
        <f t="shared" si="12"/>
        <v>-400</v>
      </c>
      <c r="P19" s="56">
        <f>SUM(P20:P21)</f>
        <v>600</v>
      </c>
      <c r="Q19" s="56">
        <f t="shared" ref="Q19" si="20">Q20+Q21</f>
        <v>1000</v>
      </c>
      <c r="R19" s="56">
        <f t="shared" ref="R19" si="21">R20+R21</f>
        <v>1000</v>
      </c>
    </row>
    <row r="20" spans="1:20" hidden="1" x14ac:dyDescent="0.25">
      <c r="A20" s="313">
        <v>31216</v>
      </c>
      <c r="B20" s="313"/>
      <c r="C20" s="313"/>
      <c r="D20" s="43" t="s">
        <v>61</v>
      </c>
      <c r="E20" s="48">
        <v>2000</v>
      </c>
      <c r="F20" s="69" t="e">
        <f>ROUND(E20/#REF!, 2)</f>
        <v>#REF!</v>
      </c>
      <c r="G20" s="48">
        <v>2000</v>
      </c>
      <c r="H20" s="69" t="e">
        <f>ROUND(G20/#REF!, 2)</f>
        <v>#REF!</v>
      </c>
      <c r="I20" s="48">
        <v>3026</v>
      </c>
      <c r="J20" s="60" t="e">
        <f>ROUND(I20/#REF!, 2)</f>
        <v>#REF!</v>
      </c>
      <c r="K20" s="61" t="e">
        <f t="shared" ref="K20:K21" si="22">M20-J20</f>
        <v>#REF!</v>
      </c>
      <c r="L20" s="132">
        <f>12899.1/7.5345</f>
        <v>1712</v>
      </c>
      <c r="M20" s="62">
        <v>402</v>
      </c>
      <c r="N20" s="154">
        <v>400</v>
      </c>
      <c r="O20" s="211">
        <f t="shared" si="12"/>
        <v>-200</v>
      </c>
      <c r="P20" s="154">
        <v>200</v>
      </c>
      <c r="Q20" s="62">
        <v>400</v>
      </c>
      <c r="R20" s="62">
        <v>400</v>
      </c>
    </row>
    <row r="21" spans="1:20" hidden="1" x14ac:dyDescent="0.25">
      <c r="A21" s="313">
        <v>31219</v>
      </c>
      <c r="B21" s="313"/>
      <c r="C21" s="313"/>
      <c r="D21" s="43" t="s">
        <v>62</v>
      </c>
      <c r="E21" s="48">
        <v>4400</v>
      </c>
      <c r="F21" s="69" t="e">
        <f>ROUND(E21/#REF!, 2)</f>
        <v>#REF!</v>
      </c>
      <c r="G21" s="48">
        <v>2000</v>
      </c>
      <c r="H21" s="69" t="e">
        <f>ROUND(G21/#REF!, 2)</f>
        <v>#REF!</v>
      </c>
      <c r="I21" s="48">
        <v>3000</v>
      </c>
      <c r="J21" s="60" t="e">
        <f>ROUND(I21/#REF!, 2)</f>
        <v>#REF!</v>
      </c>
      <c r="K21" s="61" t="e">
        <f t="shared" si="22"/>
        <v>#REF!</v>
      </c>
      <c r="L21" s="132">
        <v>0</v>
      </c>
      <c r="M21" s="62">
        <f>398+200</f>
        <v>598</v>
      </c>
      <c r="N21" s="154">
        <v>600</v>
      </c>
      <c r="O21" s="211">
        <f t="shared" si="12"/>
        <v>-200</v>
      </c>
      <c r="P21" s="154">
        <v>400</v>
      </c>
      <c r="Q21" s="62">
        <v>600</v>
      </c>
      <c r="R21" s="62">
        <v>600</v>
      </c>
    </row>
    <row r="22" spans="1:20" s="185" customFormat="1" hidden="1" x14ac:dyDescent="0.25">
      <c r="A22" s="309">
        <v>313</v>
      </c>
      <c r="B22" s="309"/>
      <c r="C22" s="309"/>
      <c r="D22" s="44" t="s">
        <v>63</v>
      </c>
      <c r="E22" s="47">
        <f>E23</f>
        <v>32005.32</v>
      </c>
      <c r="F22" s="47" t="e">
        <f t="shared" ref="F22:R22" si="23">F23</f>
        <v>#REF!</v>
      </c>
      <c r="G22" s="47">
        <f t="shared" si="23"/>
        <v>36135</v>
      </c>
      <c r="H22" s="47" t="e">
        <f t="shared" si="23"/>
        <v>#REF!</v>
      </c>
      <c r="I22" s="47">
        <f t="shared" si="23"/>
        <v>37974.620000000003</v>
      </c>
      <c r="J22" s="56" t="e">
        <f t="shared" si="23"/>
        <v>#REF!</v>
      </c>
      <c r="K22" s="56" t="e">
        <f t="shared" si="23"/>
        <v>#REF!</v>
      </c>
      <c r="L22" s="47">
        <f t="shared" si="23"/>
        <v>4602.22</v>
      </c>
      <c r="M22" s="56">
        <f t="shared" si="23"/>
        <v>5040</v>
      </c>
      <c r="N22" s="56">
        <f>N23</f>
        <v>4400</v>
      </c>
      <c r="O22" s="184">
        <f t="shared" si="12"/>
        <v>-400</v>
      </c>
      <c r="P22" s="56">
        <f>P23</f>
        <v>4000</v>
      </c>
      <c r="Q22" s="56">
        <f t="shared" si="23"/>
        <v>5390</v>
      </c>
      <c r="R22" s="56">
        <f t="shared" si="23"/>
        <v>5520</v>
      </c>
    </row>
    <row r="23" spans="1:20" hidden="1" x14ac:dyDescent="0.25">
      <c r="A23" s="308">
        <v>3132</v>
      </c>
      <c r="B23" s="308"/>
      <c r="C23" s="308"/>
      <c r="D23" s="119" t="s">
        <v>64</v>
      </c>
      <c r="E23" s="59">
        <f>E18*16.5/100-0.05</f>
        <v>32005.32</v>
      </c>
      <c r="F23" s="69" t="e">
        <f>ROUND(E23/#REF!, 2)</f>
        <v>#REF!</v>
      </c>
      <c r="G23" s="59">
        <f>G18*16.5/100</f>
        <v>36135</v>
      </c>
      <c r="H23" s="69" t="e">
        <f>ROUND(G23/#REF!, 2)</f>
        <v>#REF!</v>
      </c>
      <c r="I23" s="59">
        <f>I18*16.5/100+20</f>
        <v>37974.620000000003</v>
      </c>
      <c r="J23" s="60" t="e">
        <f>ROUND(I23/#REF!, 2)</f>
        <v>#REF!</v>
      </c>
      <c r="K23" s="60" t="e">
        <f>M23-J23</f>
        <v>#REF!</v>
      </c>
      <c r="L23" s="69">
        <f>34675.39/7.5345</f>
        <v>4602.22</v>
      </c>
      <c r="M23" s="60">
        <v>5040</v>
      </c>
      <c r="N23" s="155">
        <v>4400</v>
      </c>
      <c r="O23" s="211">
        <f t="shared" si="12"/>
        <v>-400</v>
      </c>
      <c r="P23" s="155">
        <v>4000</v>
      </c>
      <c r="Q23" s="60">
        <v>5390</v>
      </c>
      <c r="R23" s="60">
        <v>5520</v>
      </c>
    </row>
    <row r="24" spans="1:20" x14ac:dyDescent="0.25">
      <c r="A24" s="305">
        <v>32</v>
      </c>
      <c r="B24" s="306"/>
      <c r="C24" s="307"/>
      <c r="D24" s="118" t="s">
        <v>37</v>
      </c>
      <c r="E24" s="89">
        <f t="shared" ref="E24:N24" si="24">E25+E30+E36+E46</f>
        <v>54628.97</v>
      </c>
      <c r="F24" s="89" t="e">
        <f t="shared" si="24"/>
        <v>#REF!</v>
      </c>
      <c r="G24" s="89">
        <f t="shared" si="24"/>
        <v>75300</v>
      </c>
      <c r="H24" s="89" t="e">
        <f t="shared" si="24"/>
        <v>#REF!</v>
      </c>
      <c r="I24" s="89">
        <f t="shared" si="24"/>
        <v>94020</v>
      </c>
      <c r="J24" s="90" t="e">
        <f t="shared" si="24"/>
        <v>#REF!</v>
      </c>
      <c r="K24" s="90" t="e">
        <f t="shared" si="24"/>
        <v>#REF!</v>
      </c>
      <c r="L24" s="89">
        <f t="shared" si="24"/>
        <v>9104.83</v>
      </c>
      <c r="M24" s="90">
        <f t="shared" si="24"/>
        <v>16645</v>
      </c>
      <c r="N24" s="157">
        <f t="shared" si="24"/>
        <v>13450</v>
      </c>
      <c r="O24" s="157">
        <f t="shared" si="12"/>
        <v>-1100</v>
      </c>
      <c r="P24" s="157">
        <f>P25+P30+P36+P46</f>
        <v>12350</v>
      </c>
      <c r="Q24" s="90">
        <f>Q25+Q30+Q36+Q46</f>
        <v>11780</v>
      </c>
      <c r="R24" s="90">
        <f>R25+R30+R36+R46</f>
        <v>12590</v>
      </c>
      <c r="T24" s="142"/>
    </row>
    <row r="25" spans="1:20" s="185" customFormat="1" hidden="1" x14ac:dyDescent="0.25">
      <c r="A25" s="283">
        <v>321</v>
      </c>
      <c r="B25" s="284"/>
      <c r="C25" s="285"/>
      <c r="D25" s="44" t="s">
        <v>65</v>
      </c>
      <c r="E25" s="47">
        <f>SUM(E26:E29)</f>
        <v>12326</v>
      </c>
      <c r="F25" s="47" t="e">
        <f t="shared" ref="F25:M25" si="25">SUM(F26:F29)</f>
        <v>#REF!</v>
      </c>
      <c r="G25" s="47">
        <f t="shared" si="25"/>
        <v>17500</v>
      </c>
      <c r="H25" s="47" t="e">
        <f t="shared" si="25"/>
        <v>#REF!</v>
      </c>
      <c r="I25" s="47">
        <f t="shared" si="25"/>
        <v>17400</v>
      </c>
      <c r="J25" s="56" t="e">
        <f t="shared" si="25"/>
        <v>#REF!</v>
      </c>
      <c r="K25" s="56" t="e">
        <f t="shared" si="25"/>
        <v>#REF!</v>
      </c>
      <c r="L25" s="47">
        <f t="shared" ref="L25" si="26">SUM(L26:L29)</f>
        <v>1977.56</v>
      </c>
      <c r="M25" s="56">
        <f t="shared" si="25"/>
        <v>2310</v>
      </c>
      <c r="N25" s="56">
        <f>SUM(N26:N29)</f>
        <v>900</v>
      </c>
      <c r="O25" s="184">
        <f t="shared" si="12"/>
        <v>-300</v>
      </c>
      <c r="P25" s="56">
        <f>SUM(P26:P29)</f>
        <v>600</v>
      </c>
      <c r="Q25" s="56">
        <f t="shared" ref="Q25" si="27">SUM(Q26:Q29)</f>
        <v>2410</v>
      </c>
      <c r="R25" s="56">
        <f t="shared" ref="R25" si="28">SUM(R26:R29)</f>
        <v>2410</v>
      </c>
    </row>
    <row r="26" spans="1:20" hidden="1" x14ac:dyDescent="0.25">
      <c r="A26" s="310">
        <v>32111</v>
      </c>
      <c r="B26" s="311"/>
      <c r="C26" s="312"/>
      <c r="D26" s="42" t="s">
        <v>66</v>
      </c>
      <c r="E26" s="48">
        <v>0</v>
      </c>
      <c r="F26" s="69" t="e">
        <f>ROUND(E26/#REF!, 2)</f>
        <v>#REF!</v>
      </c>
      <c r="G26" s="48">
        <v>1000</v>
      </c>
      <c r="H26" s="69" t="e">
        <f>ROUND(G26/#REF!, 2)</f>
        <v>#REF!</v>
      </c>
      <c r="I26" s="48">
        <v>1130</v>
      </c>
      <c r="J26" s="60" t="e">
        <f>ROUND(I26/#REF!, 2)</f>
        <v>#REF!</v>
      </c>
      <c r="K26" s="61" t="e">
        <f t="shared" ref="K26:K29" si="29">M26-J26</f>
        <v>#REF!</v>
      </c>
      <c r="L26" s="132">
        <f>170/7.5345</f>
        <v>22.56</v>
      </c>
      <c r="M26" s="62">
        <v>150</v>
      </c>
      <c r="N26" s="154">
        <v>200</v>
      </c>
      <c r="O26" s="211">
        <f t="shared" si="12"/>
        <v>-150</v>
      </c>
      <c r="P26" s="154">
        <v>50</v>
      </c>
      <c r="Q26" s="62">
        <v>150</v>
      </c>
      <c r="R26" s="62">
        <v>150</v>
      </c>
    </row>
    <row r="27" spans="1:20" hidden="1" x14ac:dyDescent="0.25">
      <c r="A27" s="298">
        <v>32119</v>
      </c>
      <c r="B27" s="299"/>
      <c r="C27" s="300"/>
      <c r="D27" s="42" t="s">
        <v>67</v>
      </c>
      <c r="E27" s="48">
        <v>0</v>
      </c>
      <c r="F27" s="69" t="e">
        <f>ROUND(E27/#REF!, 2)</f>
        <v>#REF!</v>
      </c>
      <c r="G27" s="48">
        <v>500</v>
      </c>
      <c r="H27" s="69" t="e">
        <f>ROUND(G27/#REF!, 2)</f>
        <v>#REF!</v>
      </c>
      <c r="I27" s="48">
        <v>450</v>
      </c>
      <c r="J27" s="60" t="e">
        <f>ROUND(I27/#REF!, 2)</f>
        <v>#REF!</v>
      </c>
      <c r="K27" s="61" t="e">
        <f t="shared" si="29"/>
        <v>#REF!</v>
      </c>
      <c r="L27" s="132">
        <v>0</v>
      </c>
      <c r="M27" s="62">
        <v>60</v>
      </c>
      <c r="N27" s="154">
        <v>100</v>
      </c>
      <c r="O27" s="211">
        <f t="shared" si="12"/>
        <v>-50</v>
      </c>
      <c r="P27" s="154">
        <v>50</v>
      </c>
      <c r="Q27" s="62">
        <v>60</v>
      </c>
      <c r="R27" s="62">
        <v>60</v>
      </c>
    </row>
    <row r="28" spans="1:20" hidden="1" x14ac:dyDescent="0.25">
      <c r="A28" s="298">
        <v>32121</v>
      </c>
      <c r="B28" s="299"/>
      <c r="C28" s="300"/>
      <c r="D28" s="119" t="s">
        <v>68</v>
      </c>
      <c r="E28" s="59">
        <v>12326</v>
      </c>
      <c r="F28" s="69" t="e">
        <f>ROUND(E28/#REF!, 2)</f>
        <v>#REF!</v>
      </c>
      <c r="G28" s="59">
        <v>15000</v>
      </c>
      <c r="H28" s="69" t="e">
        <f>ROUND(G28/#REF!, 2)</f>
        <v>#REF!</v>
      </c>
      <c r="I28" s="59">
        <v>15070</v>
      </c>
      <c r="J28" s="60" t="e">
        <f>ROUND(I28/#REF!, 2)</f>
        <v>#REF!</v>
      </c>
      <c r="K28" s="61" t="e">
        <f t="shared" si="29"/>
        <v>#REF!</v>
      </c>
      <c r="L28" s="132">
        <f>14729.92/7.5345</f>
        <v>1955</v>
      </c>
      <c r="M28" s="62">
        <v>2000</v>
      </c>
      <c r="N28" s="154">
        <v>500</v>
      </c>
      <c r="O28" s="211">
        <f t="shared" si="12"/>
        <v>0</v>
      </c>
      <c r="P28" s="154">
        <v>500</v>
      </c>
      <c r="Q28" s="62">
        <v>2100</v>
      </c>
      <c r="R28" s="62">
        <v>2100</v>
      </c>
    </row>
    <row r="29" spans="1:20" hidden="1" x14ac:dyDescent="0.25">
      <c r="A29" s="298">
        <v>32131</v>
      </c>
      <c r="B29" s="299"/>
      <c r="C29" s="300"/>
      <c r="D29" s="42" t="s">
        <v>69</v>
      </c>
      <c r="E29" s="48">
        <v>0</v>
      </c>
      <c r="F29" s="69" t="e">
        <f>ROUND(E29/#REF!, 2)</f>
        <v>#REF!</v>
      </c>
      <c r="G29" s="48">
        <v>1000</v>
      </c>
      <c r="H29" s="69" t="e">
        <f>ROUND(G29/#REF!, 2)</f>
        <v>#REF!</v>
      </c>
      <c r="I29" s="48">
        <v>750</v>
      </c>
      <c r="J29" s="60" t="e">
        <f>ROUND(I29/#REF!, 2)</f>
        <v>#REF!</v>
      </c>
      <c r="K29" s="61" t="e">
        <f t="shared" si="29"/>
        <v>#REF!</v>
      </c>
      <c r="L29" s="132">
        <v>0</v>
      </c>
      <c r="M29" s="62">
        <v>100</v>
      </c>
      <c r="N29" s="154">
        <v>100</v>
      </c>
      <c r="O29" s="211">
        <f t="shared" si="12"/>
        <v>-100</v>
      </c>
      <c r="P29" s="154">
        <v>0</v>
      </c>
      <c r="Q29" s="62">
        <v>100</v>
      </c>
      <c r="R29" s="62">
        <v>100</v>
      </c>
    </row>
    <row r="30" spans="1:20" s="185" customFormat="1" hidden="1" x14ac:dyDescent="0.25">
      <c r="A30" s="283">
        <v>322</v>
      </c>
      <c r="B30" s="284"/>
      <c r="C30" s="285"/>
      <c r="D30" s="44" t="s">
        <v>70</v>
      </c>
      <c r="E30" s="47">
        <f t="shared" ref="E30:N30" si="30">SUM(E31:E35)</f>
        <v>8888.4599999999991</v>
      </c>
      <c r="F30" s="47" t="e">
        <f t="shared" si="30"/>
        <v>#REF!</v>
      </c>
      <c r="G30" s="47">
        <f t="shared" si="30"/>
        <v>13000</v>
      </c>
      <c r="H30" s="47" t="e">
        <f t="shared" si="30"/>
        <v>#REF!</v>
      </c>
      <c r="I30" s="47">
        <f t="shared" si="30"/>
        <v>17330</v>
      </c>
      <c r="J30" s="56" t="e">
        <f t="shared" si="30"/>
        <v>#REF!</v>
      </c>
      <c r="K30" s="56" t="e">
        <f t="shared" si="30"/>
        <v>#REF!</v>
      </c>
      <c r="L30" s="47">
        <f t="shared" si="30"/>
        <v>1079.8</v>
      </c>
      <c r="M30" s="56">
        <f t="shared" si="30"/>
        <v>2300</v>
      </c>
      <c r="N30" s="56">
        <f t="shared" si="30"/>
        <v>3700</v>
      </c>
      <c r="O30" s="212">
        <f t="shared" si="12"/>
        <v>-700</v>
      </c>
      <c r="P30" s="56">
        <f>SUM(P31:P35)</f>
        <v>3000</v>
      </c>
      <c r="Q30" s="56">
        <f>SUM(Q31:Q35)</f>
        <v>2400</v>
      </c>
      <c r="R30" s="56">
        <f>SUM(R31:R35)</f>
        <v>2500</v>
      </c>
    </row>
    <row r="31" spans="1:20" hidden="1" x14ac:dyDescent="0.25">
      <c r="A31" s="298">
        <v>3221</v>
      </c>
      <c r="B31" s="299"/>
      <c r="C31" s="300"/>
      <c r="D31" s="42" t="s">
        <v>163</v>
      </c>
      <c r="E31" s="48">
        <v>1150.43</v>
      </c>
      <c r="F31" s="69" t="e">
        <f>ROUND(E31/#REF!, 2)</f>
        <v>#REF!</v>
      </c>
      <c r="G31" s="48">
        <v>1000</v>
      </c>
      <c r="H31" s="69" t="e">
        <f>ROUND(G31/#REF!, 2)</f>
        <v>#REF!</v>
      </c>
      <c r="I31" s="48">
        <v>1130</v>
      </c>
      <c r="J31" s="60" t="e">
        <f>ROUND(I31/#REF!, 2)</f>
        <v>#REF!</v>
      </c>
      <c r="K31" s="61" t="e">
        <f t="shared" ref="K31:K35" si="31">M31-J31</f>
        <v>#REF!</v>
      </c>
      <c r="L31" s="132">
        <f>1992.79/7.5345</f>
        <v>264.49</v>
      </c>
      <c r="M31" s="62">
        <v>150</v>
      </c>
      <c r="N31" s="154">
        <v>1500</v>
      </c>
      <c r="O31" s="211">
        <f t="shared" si="12"/>
        <v>-700</v>
      </c>
      <c r="P31" s="154">
        <v>800</v>
      </c>
      <c r="Q31" s="62">
        <v>150</v>
      </c>
      <c r="R31" s="62">
        <v>150</v>
      </c>
    </row>
    <row r="32" spans="1:20" hidden="1" x14ac:dyDescent="0.25">
      <c r="A32" s="298">
        <v>3222</v>
      </c>
      <c r="B32" s="299"/>
      <c r="C32" s="300"/>
      <c r="D32" s="42" t="s">
        <v>71</v>
      </c>
      <c r="E32" s="48">
        <v>0</v>
      </c>
      <c r="F32" s="69" t="e">
        <f>ROUND(E32/#REF!, 2)</f>
        <v>#REF!</v>
      </c>
      <c r="G32" s="48">
        <v>0</v>
      </c>
      <c r="H32" s="69" t="e">
        <f>ROUND(G32/#REF!, 2)</f>
        <v>#REF!</v>
      </c>
      <c r="I32" s="48">
        <v>0</v>
      </c>
      <c r="J32" s="60" t="e">
        <f>ROUND(I32/#REF!, 2)</f>
        <v>#REF!</v>
      </c>
      <c r="K32" s="61" t="e">
        <f t="shared" si="31"/>
        <v>#REF!</v>
      </c>
      <c r="L32" s="132">
        <v>0</v>
      </c>
      <c r="M32" s="62">
        <v>0</v>
      </c>
      <c r="N32" s="154">
        <v>0</v>
      </c>
      <c r="O32" s="211">
        <f t="shared" si="12"/>
        <v>0</v>
      </c>
      <c r="P32" s="154">
        <v>0</v>
      </c>
      <c r="Q32" s="62">
        <v>0</v>
      </c>
      <c r="R32" s="62">
        <v>0</v>
      </c>
    </row>
    <row r="33" spans="1:18" hidden="1" x14ac:dyDescent="0.25">
      <c r="A33" s="298">
        <v>32231</v>
      </c>
      <c r="B33" s="299"/>
      <c r="C33" s="300"/>
      <c r="D33" s="42" t="s">
        <v>72</v>
      </c>
      <c r="E33" s="48">
        <v>1004.16</v>
      </c>
      <c r="F33" s="69" t="e">
        <f>ROUND(E33/#REF!, 2)</f>
        <v>#REF!</v>
      </c>
      <c r="G33" s="48">
        <v>2000</v>
      </c>
      <c r="H33" s="69" t="e">
        <f>ROUND(G33/#REF!, 2)</f>
        <v>#REF!</v>
      </c>
      <c r="I33" s="48">
        <v>3015</v>
      </c>
      <c r="J33" s="60" t="e">
        <f>ROUND(I33/#REF!, 2)</f>
        <v>#REF!</v>
      </c>
      <c r="K33" s="61" t="e">
        <f t="shared" si="31"/>
        <v>#REF!</v>
      </c>
      <c r="L33" s="132">
        <f>1471.16/7.5345</f>
        <v>195.26</v>
      </c>
      <c r="M33" s="62">
        <v>400</v>
      </c>
      <c r="N33" s="154">
        <v>500</v>
      </c>
      <c r="O33" s="211">
        <f t="shared" si="12"/>
        <v>0</v>
      </c>
      <c r="P33" s="154">
        <v>500</v>
      </c>
      <c r="Q33" s="62">
        <v>500</v>
      </c>
      <c r="R33" s="62">
        <v>600</v>
      </c>
    </row>
    <row r="34" spans="1:18" hidden="1" x14ac:dyDescent="0.25">
      <c r="A34" s="298">
        <v>32233</v>
      </c>
      <c r="B34" s="299"/>
      <c r="C34" s="300"/>
      <c r="D34" s="42" t="s">
        <v>73</v>
      </c>
      <c r="E34" s="48">
        <v>6402.62</v>
      </c>
      <c r="F34" s="69" t="e">
        <f>ROUND(E34/#REF!, 2)</f>
        <v>#REF!</v>
      </c>
      <c r="G34" s="48">
        <v>8000</v>
      </c>
      <c r="H34" s="69" t="e">
        <f>ROUND(G34/#REF!, 2)</f>
        <v>#REF!</v>
      </c>
      <c r="I34" s="48">
        <v>11305</v>
      </c>
      <c r="J34" s="60" t="e">
        <f>ROUND(I34/#REF!, 2)</f>
        <v>#REF!</v>
      </c>
      <c r="K34" s="61" t="e">
        <f t="shared" si="31"/>
        <v>#REF!</v>
      </c>
      <c r="L34" s="132">
        <f>4671.77/7.5345</f>
        <v>620.04999999999995</v>
      </c>
      <c r="M34" s="62">
        <v>1500</v>
      </c>
      <c r="N34" s="154">
        <v>1400</v>
      </c>
      <c r="O34" s="211">
        <f t="shared" si="12"/>
        <v>0</v>
      </c>
      <c r="P34" s="154">
        <v>1400</v>
      </c>
      <c r="Q34" s="62">
        <v>1500</v>
      </c>
      <c r="R34" s="62">
        <v>1500</v>
      </c>
    </row>
    <row r="35" spans="1:18" hidden="1" x14ac:dyDescent="0.25">
      <c r="A35" s="298">
        <v>32251</v>
      </c>
      <c r="B35" s="299"/>
      <c r="C35" s="300"/>
      <c r="D35" s="42" t="s">
        <v>74</v>
      </c>
      <c r="E35" s="48">
        <v>331.25</v>
      </c>
      <c r="F35" s="69" t="e">
        <f>ROUND(E35/#REF!, 2)</f>
        <v>#REF!</v>
      </c>
      <c r="G35" s="48">
        <v>2000</v>
      </c>
      <c r="H35" s="69" t="e">
        <f>ROUND(G35/#REF!, 2)</f>
        <v>#REF!</v>
      </c>
      <c r="I35" s="48">
        <v>1880</v>
      </c>
      <c r="J35" s="60" t="e">
        <f>ROUND(I35/#REF!, 2)</f>
        <v>#REF!</v>
      </c>
      <c r="K35" s="61" t="e">
        <f t="shared" si="31"/>
        <v>#REF!</v>
      </c>
      <c r="L35" s="132">
        <v>0</v>
      </c>
      <c r="M35" s="62">
        <v>250</v>
      </c>
      <c r="N35" s="154">
        <v>300</v>
      </c>
      <c r="O35" s="211">
        <f t="shared" si="12"/>
        <v>0</v>
      </c>
      <c r="P35" s="154">
        <v>300</v>
      </c>
      <c r="Q35" s="62">
        <v>250</v>
      </c>
      <c r="R35" s="62">
        <v>250</v>
      </c>
    </row>
    <row r="36" spans="1:18" s="185" customFormat="1" hidden="1" x14ac:dyDescent="0.25">
      <c r="A36" s="283">
        <v>323</v>
      </c>
      <c r="B36" s="284"/>
      <c r="C36" s="285"/>
      <c r="D36" s="44" t="s">
        <v>75</v>
      </c>
      <c r="E36" s="47">
        <f t="shared" ref="E36:N36" si="32">SUM(E37:E45)</f>
        <v>20010.400000000001</v>
      </c>
      <c r="F36" s="47" t="e">
        <f t="shared" si="32"/>
        <v>#REF!</v>
      </c>
      <c r="G36" s="47">
        <f t="shared" si="32"/>
        <v>26300</v>
      </c>
      <c r="H36" s="47" t="e">
        <f t="shared" si="32"/>
        <v>#REF!</v>
      </c>
      <c r="I36" s="47">
        <f t="shared" si="32"/>
        <v>41210</v>
      </c>
      <c r="J36" s="56" t="e">
        <f t="shared" si="32"/>
        <v>#REF!</v>
      </c>
      <c r="K36" s="56" t="e">
        <f t="shared" si="32"/>
        <v>#REF!</v>
      </c>
      <c r="L36" s="47">
        <f t="shared" si="32"/>
        <v>3717.42</v>
      </c>
      <c r="M36" s="56">
        <f t="shared" si="32"/>
        <v>9670</v>
      </c>
      <c r="N36" s="56">
        <f t="shared" si="32"/>
        <v>6300</v>
      </c>
      <c r="O36" s="212">
        <f t="shared" si="12"/>
        <v>-100</v>
      </c>
      <c r="P36" s="56">
        <f>SUM(P37:P45)</f>
        <v>6200</v>
      </c>
      <c r="Q36" s="56">
        <f>SUM(Q37:Q45)</f>
        <v>4320</v>
      </c>
      <c r="R36" s="56">
        <f>SUM(R37:R45)</f>
        <v>4930</v>
      </c>
    </row>
    <row r="37" spans="1:18" hidden="1" x14ac:dyDescent="0.25">
      <c r="A37" s="298">
        <v>3231</v>
      </c>
      <c r="B37" s="299"/>
      <c r="C37" s="300"/>
      <c r="D37" s="42" t="s">
        <v>76</v>
      </c>
      <c r="E37" s="48">
        <f>6093.15+258.1</f>
        <v>6351.25</v>
      </c>
      <c r="F37" s="69" t="e">
        <f>ROUND(E37/#REF!, 2)</f>
        <v>#REF!</v>
      </c>
      <c r="G37" s="48">
        <v>7500</v>
      </c>
      <c r="H37" s="69" t="e">
        <f>ROUND(G37/#REF!, 2)</f>
        <v>#REF!</v>
      </c>
      <c r="I37" s="48">
        <v>5050</v>
      </c>
      <c r="J37" s="60" t="e">
        <f>ROUND(I37/#REF!, 2)</f>
        <v>#REF!</v>
      </c>
      <c r="K37" s="61" t="e">
        <f t="shared" ref="K37:K45" si="33">M37-J37</f>
        <v>#REF!</v>
      </c>
      <c r="L37" s="132">
        <f>6478.26/7.5345</f>
        <v>859.81</v>
      </c>
      <c r="M37" s="62">
        <v>670</v>
      </c>
      <c r="N37" s="154">
        <v>650</v>
      </c>
      <c r="O37" s="211">
        <f t="shared" si="12"/>
        <v>0</v>
      </c>
      <c r="P37" s="154">
        <v>650</v>
      </c>
      <c r="Q37" s="62">
        <f>700+150</f>
        <v>850</v>
      </c>
      <c r="R37" s="62">
        <f>700+150</f>
        <v>850</v>
      </c>
    </row>
    <row r="38" spans="1:18" hidden="1" x14ac:dyDescent="0.25">
      <c r="A38" s="298">
        <v>3232</v>
      </c>
      <c r="B38" s="299"/>
      <c r="C38" s="300"/>
      <c r="D38" s="42" t="s">
        <v>164</v>
      </c>
      <c r="E38" s="48">
        <v>0</v>
      </c>
      <c r="F38" s="69" t="e">
        <f>ROUND(E38/#REF!, 2)</f>
        <v>#REF!</v>
      </c>
      <c r="G38" s="48">
        <v>1000</v>
      </c>
      <c r="H38" s="69" t="e">
        <f>ROUND(G38/#REF!, 2)</f>
        <v>#REF!</v>
      </c>
      <c r="I38" s="48">
        <v>20345</v>
      </c>
      <c r="J38" s="60" t="e">
        <f>ROUND(I38/#REF!, 2)</f>
        <v>#REF!</v>
      </c>
      <c r="K38" s="61" t="e">
        <f t="shared" si="33"/>
        <v>#REF!</v>
      </c>
      <c r="L38" s="132">
        <v>0</v>
      </c>
      <c r="M38" s="62">
        <v>2700</v>
      </c>
      <c r="N38" s="154">
        <v>150</v>
      </c>
      <c r="O38" s="211">
        <f t="shared" si="12"/>
        <v>0</v>
      </c>
      <c r="P38" s="154">
        <v>150</v>
      </c>
      <c r="Q38" s="62">
        <v>150</v>
      </c>
      <c r="R38" s="62">
        <v>150</v>
      </c>
    </row>
    <row r="39" spans="1:18" hidden="1" x14ac:dyDescent="0.25">
      <c r="A39" s="298">
        <v>3233</v>
      </c>
      <c r="B39" s="299"/>
      <c r="C39" s="300"/>
      <c r="D39" s="42" t="s">
        <v>77</v>
      </c>
      <c r="E39" s="48">
        <v>0</v>
      </c>
      <c r="F39" s="69" t="e">
        <f>ROUND(E39/#REF!, 2)</f>
        <v>#REF!</v>
      </c>
      <c r="G39" s="48">
        <v>0</v>
      </c>
      <c r="H39" s="69" t="e">
        <f>ROUND(G39/#REF!, 2)</f>
        <v>#REF!</v>
      </c>
      <c r="I39" s="48">
        <v>0</v>
      </c>
      <c r="J39" s="60" t="e">
        <f>ROUND(I39/#REF!, 2)</f>
        <v>#REF!</v>
      </c>
      <c r="K39" s="61" t="e">
        <f t="shared" si="33"/>
        <v>#REF!</v>
      </c>
      <c r="L39" s="132">
        <f>1270/7.5345</f>
        <v>168.56</v>
      </c>
      <c r="M39" s="62">
        <v>0</v>
      </c>
      <c r="N39" s="154">
        <v>1000</v>
      </c>
      <c r="O39" s="211">
        <f t="shared" si="12"/>
        <v>0</v>
      </c>
      <c r="P39" s="154">
        <v>1000</v>
      </c>
      <c r="Q39" s="62">
        <v>420</v>
      </c>
      <c r="R39" s="62">
        <v>450</v>
      </c>
    </row>
    <row r="40" spans="1:18" hidden="1" x14ac:dyDescent="0.25">
      <c r="A40" s="298">
        <v>32341</v>
      </c>
      <c r="B40" s="299"/>
      <c r="C40" s="300"/>
      <c r="D40" s="42" t="s">
        <v>78</v>
      </c>
      <c r="E40" s="48">
        <v>601.41</v>
      </c>
      <c r="F40" s="69" t="e">
        <f>ROUND(E40/#REF!, 2)</f>
        <v>#REF!</v>
      </c>
      <c r="G40" s="48">
        <v>1000</v>
      </c>
      <c r="H40" s="69" t="e">
        <f>ROUND(G40/#REF!, 2)</f>
        <v>#REF!</v>
      </c>
      <c r="I40" s="48">
        <v>1505</v>
      </c>
      <c r="J40" s="60" t="e">
        <f>ROUND(I40/#REF!, 2)</f>
        <v>#REF!</v>
      </c>
      <c r="K40" s="61" t="e">
        <f t="shared" si="33"/>
        <v>#REF!</v>
      </c>
      <c r="L40" s="132">
        <f>791.37/7.5345</f>
        <v>105.03</v>
      </c>
      <c r="M40" s="62">
        <v>200</v>
      </c>
      <c r="N40" s="154">
        <v>200</v>
      </c>
      <c r="O40" s="211">
        <f t="shared" si="12"/>
        <v>100</v>
      </c>
      <c r="P40" s="154">
        <v>300</v>
      </c>
      <c r="Q40" s="62">
        <v>200</v>
      </c>
      <c r="R40" s="62">
        <v>200</v>
      </c>
    </row>
    <row r="41" spans="1:18" hidden="1" x14ac:dyDescent="0.25">
      <c r="A41" s="298">
        <v>32342</v>
      </c>
      <c r="B41" s="299"/>
      <c r="C41" s="300"/>
      <c r="D41" s="42" t="s">
        <v>79</v>
      </c>
      <c r="E41" s="48">
        <v>2417.7399999999998</v>
      </c>
      <c r="F41" s="69" t="e">
        <f>ROUND(E41/#REF!, 2)</f>
        <v>#REF!</v>
      </c>
      <c r="G41" s="48">
        <v>2000</v>
      </c>
      <c r="H41" s="69" t="e">
        <f>ROUND(G41/#REF!, 2)</f>
        <v>#REF!</v>
      </c>
      <c r="I41" s="48">
        <v>1505</v>
      </c>
      <c r="J41" s="60" t="e">
        <f>ROUND(I41/#REF!, 2)</f>
        <v>#REF!</v>
      </c>
      <c r="K41" s="61" t="e">
        <f t="shared" si="33"/>
        <v>#REF!</v>
      </c>
      <c r="L41" s="132">
        <f>2484.25/7.5345+0.01</f>
        <v>329.73</v>
      </c>
      <c r="M41" s="62">
        <v>200</v>
      </c>
      <c r="N41" s="154">
        <v>300</v>
      </c>
      <c r="O41" s="211">
        <f t="shared" si="12"/>
        <v>200</v>
      </c>
      <c r="P41" s="154">
        <v>500</v>
      </c>
      <c r="Q41" s="62">
        <v>300</v>
      </c>
      <c r="R41" s="62">
        <v>300</v>
      </c>
    </row>
    <row r="42" spans="1:18" hidden="1" x14ac:dyDescent="0.25">
      <c r="A42" s="298">
        <v>3236</v>
      </c>
      <c r="B42" s="299"/>
      <c r="C42" s="300"/>
      <c r="D42" s="42" t="s">
        <v>109</v>
      </c>
      <c r="E42" s="48">
        <v>830</v>
      </c>
      <c r="F42" s="69" t="e">
        <f>ROUND(E42/#REF!, 2)</f>
        <v>#REF!</v>
      </c>
      <c r="G42" s="48">
        <v>2800</v>
      </c>
      <c r="H42" s="69" t="e">
        <f>ROUND(G42/#REF!, 2)</f>
        <v>#REF!</v>
      </c>
      <c r="I42" s="48">
        <v>0</v>
      </c>
      <c r="J42" s="60" t="e">
        <f>ROUND(I42/#REF!, 2)</f>
        <v>#REF!</v>
      </c>
      <c r="K42" s="61" t="e">
        <f t="shared" si="33"/>
        <v>#REF!</v>
      </c>
      <c r="L42" s="132">
        <f>3600/7.5345</f>
        <v>477.8</v>
      </c>
      <c r="M42" s="62">
        <v>0</v>
      </c>
      <c r="N42" s="154">
        <v>0</v>
      </c>
      <c r="O42" s="211">
        <f t="shared" si="12"/>
        <v>0</v>
      </c>
      <c r="P42" s="154">
        <v>0</v>
      </c>
      <c r="Q42" s="62">
        <v>0</v>
      </c>
      <c r="R42" s="62">
        <v>380</v>
      </c>
    </row>
    <row r="43" spans="1:18" hidden="1" x14ac:dyDescent="0.25">
      <c r="A43" s="298">
        <v>3237</v>
      </c>
      <c r="B43" s="299"/>
      <c r="C43" s="300"/>
      <c r="D43" s="42" t="s">
        <v>165</v>
      </c>
      <c r="E43" s="48">
        <v>0</v>
      </c>
      <c r="F43" s="69" t="e">
        <f>ROUND(E43/#REF!, 2)</f>
        <v>#REF!</v>
      </c>
      <c r="G43" s="48">
        <v>1000</v>
      </c>
      <c r="H43" s="69" t="e">
        <f>ROUND(G43/#REF!, 2)</f>
        <v>#REF!</v>
      </c>
      <c r="I43" s="48">
        <v>1505</v>
      </c>
      <c r="J43" s="60" t="e">
        <f>ROUND(I43/#REF!, 2)</f>
        <v>#REF!</v>
      </c>
      <c r="K43" s="61" t="e">
        <f t="shared" si="33"/>
        <v>#REF!</v>
      </c>
      <c r="L43" s="132">
        <f>3575/7.5345</f>
        <v>474.48</v>
      </c>
      <c r="M43" s="62">
        <v>4000</v>
      </c>
      <c r="N43" s="154">
        <v>1000</v>
      </c>
      <c r="O43" s="211">
        <f t="shared" si="12"/>
        <v>-500</v>
      </c>
      <c r="P43" s="154">
        <v>500</v>
      </c>
      <c r="Q43" s="62">
        <v>500</v>
      </c>
      <c r="R43" s="62">
        <v>500</v>
      </c>
    </row>
    <row r="44" spans="1:18" hidden="1" x14ac:dyDescent="0.25">
      <c r="A44" s="298">
        <v>3238</v>
      </c>
      <c r="B44" s="299"/>
      <c r="C44" s="300"/>
      <c r="D44" s="42" t="s">
        <v>80</v>
      </c>
      <c r="E44" s="48">
        <v>9810</v>
      </c>
      <c r="F44" s="69" t="e">
        <f>ROUND(E44/#REF!, 2)</f>
        <v>#REF!</v>
      </c>
      <c r="G44" s="48">
        <v>11000</v>
      </c>
      <c r="H44" s="69" t="e">
        <f>ROUND(G44/#REF!, 2)</f>
        <v>#REF!</v>
      </c>
      <c r="I44" s="48">
        <v>11300</v>
      </c>
      <c r="J44" s="60" t="e">
        <f>ROUND(I44/#REF!, 2)</f>
        <v>#REF!</v>
      </c>
      <c r="K44" s="61" t="e">
        <f t="shared" si="33"/>
        <v>#REF!</v>
      </c>
      <c r="L44" s="132">
        <f>9810/7.5345</f>
        <v>1302.01</v>
      </c>
      <c r="M44" s="62">
        <v>1500</v>
      </c>
      <c r="N44" s="154">
        <v>1500</v>
      </c>
      <c r="O44" s="211">
        <f t="shared" si="12"/>
        <v>600</v>
      </c>
      <c r="P44" s="154">
        <v>2100</v>
      </c>
      <c r="Q44" s="62">
        <v>1600</v>
      </c>
      <c r="R44" s="62">
        <v>1800</v>
      </c>
    </row>
    <row r="45" spans="1:18" hidden="1" x14ac:dyDescent="0.25">
      <c r="A45" s="298">
        <v>3239</v>
      </c>
      <c r="B45" s="299"/>
      <c r="C45" s="300"/>
      <c r="D45" s="42" t="s">
        <v>152</v>
      </c>
      <c r="E45" s="48">
        <v>0</v>
      </c>
      <c r="F45" s="69" t="e">
        <f>ROUND(E45/#REF!, 2)</f>
        <v>#REF!</v>
      </c>
      <c r="G45" s="48">
        <v>0</v>
      </c>
      <c r="H45" s="69" t="e">
        <f>ROUND(G45/#REF!, 2)</f>
        <v>#REF!</v>
      </c>
      <c r="I45" s="48">
        <v>0</v>
      </c>
      <c r="J45" s="60" t="e">
        <f>ROUND(I45/#REF!, 2)</f>
        <v>#REF!</v>
      </c>
      <c r="K45" s="61" t="e">
        <f t="shared" si="33"/>
        <v>#REF!</v>
      </c>
      <c r="L45" s="132">
        <v>0</v>
      </c>
      <c r="M45" s="62">
        <v>400</v>
      </c>
      <c r="N45" s="154">
        <v>1500</v>
      </c>
      <c r="O45" s="211">
        <f t="shared" si="12"/>
        <v>-500</v>
      </c>
      <c r="P45" s="154">
        <v>1000</v>
      </c>
      <c r="Q45" s="62">
        <v>300</v>
      </c>
      <c r="R45" s="62">
        <v>300</v>
      </c>
    </row>
    <row r="46" spans="1:18" s="185" customFormat="1" hidden="1" x14ac:dyDescent="0.25">
      <c r="A46" s="283">
        <v>329</v>
      </c>
      <c r="B46" s="284"/>
      <c r="C46" s="285"/>
      <c r="D46" s="44" t="s">
        <v>81</v>
      </c>
      <c r="E46" s="47">
        <f t="shared" ref="E46:M46" si="34">SUM(E47:E52)</f>
        <v>13404.11</v>
      </c>
      <c r="F46" s="47" t="e">
        <f t="shared" si="34"/>
        <v>#REF!</v>
      </c>
      <c r="G46" s="47">
        <f t="shared" si="34"/>
        <v>18500</v>
      </c>
      <c r="H46" s="47" t="e">
        <f t="shared" si="34"/>
        <v>#REF!</v>
      </c>
      <c r="I46" s="47">
        <f t="shared" si="34"/>
        <v>18080</v>
      </c>
      <c r="J46" s="56" t="e">
        <f t="shared" si="34"/>
        <v>#REF!</v>
      </c>
      <c r="K46" s="56" t="e">
        <f t="shared" si="34"/>
        <v>#REF!</v>
      </c>
      <c r="L46" s="47">
        <f t="shared" ref="L46" si="35">SUM(L47:L52)</f>
        <v>2330.0500000000002</v>
      </c>
      <c r="M46" s="56">
        <f t="shared" si="34"/>
        <v>2365</v>
      </c>
      <c r="N46" s="56">
        <f>SUM(N47:N52)</f>
        <v>2550</v>
      </c>
      <c r="O46" s="212">
        <f t="shared" si="12"/>
        <v>0</v>
      </c>
      <c r="P46" s="56">
        <f>SUM(P47:P52)</f>
        <v>2550</v>
      </c>
      <c r="Q46" s="56">
        <f t="shared" ref="Q46" si="36">SUM(Q47:Q52)</f>
        <v>2650</v>
      </c>
      <c r="R46" s="56">
        <f t="shared" ref="R46" si="37">SUM(R47:R52)</f>
        <v>2750</v>
      </c>
    </row>
    <row r="47" spans="1:18" hidden="1" x14ac:dyDescent="0.25">
      <c r="A47" s="298">
        <v>32922</v>
      </c>
      <c r="B47" s="299"/>
      <c r="C47" s="300"/>
      <c r="D47" s="42" t="s">
        <v>82</v>
      </c>
      <c r="E47" s="48">
        <v>2200.38</v>
      </c>
      <c r="F47" s="69" t="e">
        <f>ROUND(E47/#REF!, 2)</f>
        <v>#REF!</v>
      </c>
      <c r="G47" s="48">
        <v>2300</v>
      </c>
      <c r="H47" s="69" t="e">
        <f>ROUND(G47/#REF!, 2)</f>
        <v>#REF!</v>
      </c>
      <c r="I47" s="48">
        <v>2055</v>
      </c>
      <c r="J47" s="60" t="e">
        <f>ROUND(I47/#REF!, 2)</f>
        <v>#REF!</v>
      </c>
      <c r="K47" s="61" t="e">
        <f t="shared" ref="K47:K52" si="38">M47-J47</f>
        <v>#REF!</v>
      </c>
      <c r="L47" s="132">
        <f>2200.38/7.5345</f>
        <v>292.04000000000002</v>
      </c>
      <c r="M47" s="62">
        <v>273</v>
      </c>
      <c r="N47" s="154">
        <v>300</v>
      </c>
      <c r="O47" s="211">
        <f t="shared" si="12"/>
        <v>0</v>
      </c>
      <c r="P47" s="154">
        <v>300</v>
      </c>
      <c r="Q47" s="62">
        <v>300</v>
      </c>
      <c r="R47" s="62">
        <v>300</v>
      </c>
    </row>
    <row r="48" spans="1:18" hidden="1" x14ac:dyDescent="0.25">
      <c r="A48" s="298">
        <v>32923</v>
      </c>
      <c r="B48" s="299"/>
      <c r="C48" s="300"/>
      <c r="D48" s="119" t="s">
        <v>83</v>
      </c>
      <c r="E48" s="59">
        <v>200</v>
      </c>
      <c r="F48" s="69" t="e">
        <f>ROUND(E48/#REF!, 2)</f>
        <v>#REF!</v>
      </c>
      <c r="G48" s="59">
        <v>200</v>
      </c>
      <c r="H48" s="69" t="e">
        <f>ROUND(G48/#REF!, 2)</f>
        <v>#REF!</v>
      </c>
      <c r="I48" s="59">
        <v>200</v>
      </c>
      <c r="J48" s="60" t="e">
        <f>ROUND(I48/#REF!, 2)</f>
        <v>#REF!</v>
      </c>
      <c r="K48" s="61" t="e">
        <f t="shared" si="38"/>
        <v>#REF!</v>
      </c>
      <c r="L48" s="132">
        <f>200/7.5345</f>
        <v>26.54</v>
      </c>
      <c r="M48" s="62">
        <v>27</v>
      </c>
      <c r="N48" s="154">
        <v>50</v>
      </c>
      <c r="O48" s="211">
        <f t="shared" si="12"/>
        <v>0</v>
      </c>
      <c r="P48" s="154">
        <v>50</v>
      </c>
      <c r="Q48" s="62">
        <v>50</v>
      </c>
      <c r="R48" s="62">
        <v>50</v>
      </c>
    </row>
    <row r="49" spans="1:20" hidden="1" x14ac:dyDescent="0.25">
      <c r="A49" s="298">
        <v>32931</v>
      </c>
      <c r="B49" s="299"/>
      <c r="C49" s="300"/>
      <c r="D49" s="119" t="s">
        <v>84</v>
      </c>
      <c r="E49" s="59">
        <v>5418.34</v>
      </c>
      <c r="F49" s="69" t="e">
        <f>ROUND(E49/#REF!, 2)</f>
        <v>#REF!</v>
      </c>
      <c r="G49" s="59">
        <v>9000</v>
      </c>
      <c r="H49" s="69" t="e">
        <f>ROUND(G49/#REF!, 2)</f>
        <v>#REF!</v>
      </c>
      <c r="I49" s="59">
        <v>9045</v>
      </c>
      <c r="J49" s="60" t="e">
        <f>ROUND(I49/#REF!, 2)</f>
        <v>#REF!</v>
      </c>
      <c r="K49" s="61" t="e">
        <f t="shared" si="38"/>
        <v>#REF!</v>
      </c>
      <c r="L49" s="132">
        <f>9303.07/7.5345</f>
        <v>1234.73</v>
      </c>
      <c r="M49" s="62">
        <v>1200</v>
      </c>
      <c r="N49" s="154">
        <v>1300</v>
      </c>
      <c r="O49" s="211">
        <f t="shared" si="12"/>
        <v>0</v>
      </c>
      <c r="P49" s="154">
        <v>1300</v>
      </c>
      <c r="Q49" s="62">
        <v>1400</v>
      </c>
      <c r="R49" s="62">
        <v>1500</v>
      </c>
    </row>
    <row r="50" spans="1:20" hidden="1" x14ac:dyDescent="0.25">
      <c r="A50" s="298">
        <v>3295</v>
      </c>
      <c r="B50" s="299"/>
      <c r="C50" s="300"/>
      <c r="D50" s="119" t="s">
        <v>126</v>
      </c>
      <c r="E50" s="59"/>
      <c r="F50" s="69"/>
      <c r="G50" s="59"/>
      <c r="H50" s="69"/>
      <c r="I50" s="59"/>
      <c r="J50" s="60">
        <v>0</v>
      </c>
      <c r="K50" s="61">
        <f t="shared" si="38"/>
        <v>165</v>
      </c>
      <c r="L50" s="132">
        <v>0</v>
      </c>
      <c r="M50" s="62">
        <v>165</v>
      </c>
      <c r="N50" s="154"/>
      <c r="O50" s="211">
        <f t="shared" si="12"/>
        <v>0</v>
      </c>
      <c r="P50" s="154"/>
      <c r="Q50" s="62">
        <v>0</v>
      </c>
      <c r="R50" s="62">
        <v>0</v>
      </c>
    </row>
    <row r="51" spans="1:20" hidden="1" x14ac:dyDescent="0.25">
      <c r="A51" s="298">
        <v>32991</v>
      </c>
      <c r="B51" s="299"/>
      <c r="C51" s="300"/>
      <c r="D51" s="119" t="s">
        <v>85</v>
      </c>
      <c r="E51" s="59">
        <v>2275</v>
      </c>
      <c r="F51" s="69" t="e">
        <f>ROUND(E51/#REF!, 2)</f>
        <v>#REF!</v>
      </c>
      <c r="G51" s="59">
        <v>2000</v>
      </c>
      <c r="H51" s="69" t="e">
        <f>ROUND(G51/#REF!, 2)</f>
        <v>#REF!</v>
      </c>
      <c r="I51" s="59">
        <v>1505</v>
      </c>
      <c r="J51" s="60" t="e">
        <f>ROUND(I51/#REF!, 2)</f>
        <v>#REF!</v>
      </c>
      <c r="K51" s="61" t="e">
        <f t="shared" si="38"/>
        <v>#REF!</v>
      </c>
      <c r="L51" s="132">
        <f>2770/7.5345+0.01</f>
        <v>367.65</v>
      </c>
      <c r="M51" s="62">
        <v>200</v>
      </c>
      <c r="N51" s="154">
        <v>300</v>
      </c>
      <c r="O51" s="211">
        <f t="shared" si="12"/>
        <v>0</v>
      </c>
      <c r="P51" s="154">
        <v>300</v>
      </c>
      <c r="Q51" s="62">
        <v>300</v>
      </c>
      <c r="R51" s="62">
        <v>300</v>
      </c>
    </row>
    <row r="52" spans="1:20" hidden="1" x14ac:dyDescent="0.25">
      <c r="A52" s="298">
        <v>32999</v>
      </c>
      <c r="B52" s="299"/>
      <c r="C52" s="300"/>
      <c r="D52" s="119" t="s">
        <v>86</v>
      </c>
      <c r="E52" s="59">
        <v>3310.39</v>
      </c>
      <c r="F52" s="69" t="e">
        <f>ROUND(E52/#REF!, 2)</f>
        <v>#REF!</v>
      </c>
      <c r="G52" s="59">
        <v>5000</v>
      </c>
      <c r="H52" s="69" t="e">
        <f>ROUND(G52/#REF!, 2)</f>
        <v>#REF!</v>
      </c>
      <c r="I52" s="59">
        <v>5275</v>
      </c>
      <c r="J52" s="60" t="e">
        <f>ROUND(I52/#REF!, 2)</f>
        <v>#REF!</v>
      </c>
      <c r="K52" s="61" t="e">
        <f t="shared" si="38"/>
        <v>#REF!</v>
      </c>
      <c r="L52" s="132">
        <f>3082.28/7.5345</f>
        <v>409.09</v>
      </c>
      <c r="M52" s="62">
        <v>500</v>
      </c>
      <c r="N52" s="154">
        <v>600</v>
      </c>
      <c r="O52" s="211">
        <f t="shared" si="12"/>
        <v>0</v>
      </c>
      <c r="P52" s="154">
        <v>600</v>
      </c>
      <c r="Q52" s="62">
        <v>600</v>
      </c>
      <c r="R52" s="62">
        <v>600</v>
      </c>
    </row>
    <row r="53" spans="1:20" x14ac:dyDescent="0.25">
      <c r="A53" s="314">
        <v>34</v>
      </c>
      <c r="B53" s="315"/>
      <c r="C53" s="316"/>
      <c r="D53" s="41" t="s">
        <v>87</v>
      </c>
      <c r="E53" s="87">
        <f>E54</f>
        <v>2525.79</v>
      </c>
      <c r="F53" s="87" t="e">
        <f t="shared" ref="F53:R53" si="39">F54</f>
        <v>#REF!</v>
      </c>
      <c r="G53" s="87">
        <f t="shared" si="39"/>
        <v>2800</v>
      </c>
      <c r="H53" s="87" t="e">
        <f t="shared" si="39"/>
        <v>#REF!</v>
      </c>
      <c r="I53" s="87">
        <f t="shared" si="39"/>
        <v>2600</v>
      </c>
      <c r="J53" s="88" t="e">
        <f t="shared" si="39"/>
        <v>#REF!</v>
      </c>
      <c r="K53" s="88" t="e">
        <f t="shared" si="39"/>
        <v>#REF!</v>
      </c>
      <c r="L53" s="87">
        <f t="shared" si="39"/>
        <v>450.84</v>
      </c>
      <c r="M53" s="88">
        <f t="shared" si="39"/>
        <v>380</v>
      </c>
      <c r="N53" s="156">
        <f>N54</f>
        <v>0</v>
      </c>
      <c r="O53" s="211">
        <f t="shared" si="12"/>
        <v>100</v>
      </c>
      <c r="P53" s="156">
        <f>P54</f>
        <v>100</v>
      </c>
      <c r="Q53" s="88">
        <f t="shared" si="39"/>
        <v>400</v>
      </c>
      <c r="R53" s="88">
        <f t="shared" si="39"/>
        <v>400</v>
      </c>
    </row>
    <row r="54" spans="1:20" s="185" customFormat="1" hidden="1" x14ac:dyDescent="0.25">
      <c r="A54" s="283">
        <v>343</v>
      </c>
      <c r="B54" s="284"/>
      <c r="C54" s="285"/>
      <c r="D54" s="44" t="s">
        <v>88</v>
      </c>
      <c r="E54" s="47">
        <v>2525.79</v>
      </c>
      <c r="F54" s="54" t="e">
        <f>ROUND(E54/#REF!, 2)</f>
        <v>#REF!</v>
      </c>
      <c r="G54" s="47">
        <v>2800</v>
      </c>
      <c r="H54" s="54" t="e">
        <f>ROUND(G54/#REF!, 2)</f>
        <v>#REF!</v>
      </c>
      <c r="I54" s="49">
        <v>2600</v>
      </c>
      <c r="J54" s="105" t="e">
        <f>ROUND(I54/#REF!, 2)</f>
        <v>#REF!</v>
      </c>
      <c r="K54" s="56" t="e">
        <f>M54-J54</f>
        <v>#REF!</v>
      </c>
      <c r="L54" s="47">
        <f>3396.87/7.5345</f>
        <v>450.84</v>
      </c>
      <c r="M54" s="56">
        <f>345+35</f>
        <v>380</v>
      </c>
      <c r="N54" s="56">
        <f>SUM(N55:N56)</f>
        <v>0</v>
      </c>
      <c r="O54" s="212">
        <f t="shared" si="12"/>
        <v>100</v>
      </c>
      <c r="P54" s="56">
        <f>SUM(P55:P56)</f>
        <v>100</v>
      </c>
      <c r="Q54" s="56">
        <v>400</v>
      </c>
      <c r="R54" s="56">
        <v>400</v>
      </c>
    </row>
    <row r="55" spans="1:20" s="171" customFormat="1" hidden="1" x14ac:dyDescent="0.25">
      <c r="A55" s="298">
        <v>3431</v>
      </c>
      <c r="B55" s="299"/>
      <c r="C55" s="300"/>
      <c r="D55" s="170" t="s">
        <v>156</v>
      </c>
      <c r="E55" s="48"/>
      <c r="F55" s="172"/>
      <c r="G55" s="48"/>
      <c r="H55" s="172"/>
      <c r="I55" s="173"/>
      <c r="J55" s="174"/>
      <c r="K55" s="175"/>
      <c r="L55" s="48"/>
      <c r="M55" s="175"/>
      <c r="N55" s="175">
        <v>0</v>
      </c>
      <c r="O55" s="211">
        <f>P55-N55</f>
        <v>90</v>
      </c>
      <c r="P55" s="175">
        <v>90</v>
      </c>
      <c r="Q55" s="175"/>
      <c r="R55" s="175"/>
    </row>
    <row r="56" spans="1:20" s="171" customFormat="1" hidden="1" x14ac:dyDescent="0.25">
      <c r="A56" s="298">
        <v>3433</v>
      </c>
      <c r="B56" s="299"/>
      <c r="C56" s="300"/>
      <c r="D56" s="170" t="s">
        <v>157</v>
      </c>
      <c r="E56" s="48"/>
      <c r="F56" s="172"/>
      <c r="G56" s="48"/>
      <c r="H56" s="172"/>
      <c r="I56" s="173"/>
      <c r="J56" s="174"/>
      <c r="K56" s="175"/>
      <c r="L56" s="48"/>
      <c r="M56" s="175"/>
      <c r="N56" s="175">
        <v>0</v>
      </c>
      <c r="O56" s="211">
        <f>P56-N56</f>
        <v>10</v>
      </c>
      <c r="P56" s="175">
        <v>10</v>
      </c>
      <c r="Q56" s="175"/>
      <c r="R56" s="175"/>
    </row>
    <row r="57" spans="1:20" s="177" customFormat="1" ht="25.5" x14ac:dyDescent="0.25">
      <c r="A57" s="276" t="s">
        <v>155</v>
      </c>
      <c r="B57" s="277"/>
      <c r="C57" s="278"/>
      <c r="D57" s="192" t="s">
        <v>153</v>
      </c>
      <c r="E57" s="193">
        <f>284454.86+7466.48-E124</f>
        <v>291921.34000000003</v>
      </c>
      <c r="F57" s="197" t="e">
        <f>ROUND(E57/#REF!, 2)</f>
        <v>#REF!</v>
      </c>
      <c r="G57" s="198" t="e">
        <f>G54-#REF!</f>
        <v>#REF!</v>
      </c>
      <c r="H57" s="198" t="e">
        <f>H54-#REF!</f>
        <v>#REF!</v>
      </c>
      <c r="I57" s="198" t="e">
        <f>I54-#REF!</f>
        <v>#REF!</v>
      </c>
      <c r="J57" s="199" t="e">
        <f>J54-#REF!</f>
        <v>#REF!</v>
      </c>
      <c r="K57" s="199" t="e">
        <f>M57-J57</f>
        <v>#REF!</v>
      </c>
      <c r="L57" s="198">
        <f>336630.96/7.5345</f>
        <v>44678.61</v>
      </c>
      <c r="M57" s="199" t="e">
        <f>M54-#REF!</f>
        <v>#REF!</v>
      </c>
      <c r="N57" s="190">
        <f>N58</f>
        <v>600</v>
      </c>
      <c r="O57" s="190">
        <f>P57-N57</f>
        <v>-100</v>
      </c>
      <c r="P57" s="190">
        <f>P58</f>
        <v>500</v>
      </c>
      <c r="Q57" s="199" t="e">
        <f>Q54-#REF!</f>
        <v>#REF!</v>
      </c>
      <c r="R57" s="199" t="e">
        <f>R54-#REF!</f>
        <v>#REF!</v>
      </c>
      <c r="T57" s="191"/>
    </row>
    <row r="58" spans="1:20" s="177" customFormat="1" x14ac:dyDescent="0.25">
      <c r="A58" s="322">
        <v>3</v>
      </c>
      <c r="B58" s="322"/>
      <c r="C58" s="322"/>
      <c r="D58" s="214" t="s">
        <v>18</v>
      </c>
      <c r="E58" s="215" t="e">
        <f t="shared" ref="E58:M58" si="40">E61+E78+E110</f>
        <v>#REF!</v>
      </c>
      <c r="F58" s="215" t="e">
        <f t="shared" si="40"/>
        <v>#REF!</v>
      </c>
      <c r="G58" s="215" t="e">
        <f t="shared" si="40"/>
        <v>#REF!</v>
      </c>
      <c r="H58" s="215" t="e">
        <f t="shared" si="40"/>
        <v>#REF!</v>
      </c>
      <c r="I58" s="215" t="e">
        <f t="shared" si="40"/>
        <v>#REF!</v>
      </c>
      <c r="J58" s="157" t="e">
        <f t="shared" si="40"/>
        <v>#REF!</v>
      </c>
      <c r="K58" s="157" t="e">
        <f t="shared" si="40"/>
        <v>#REF!</v>
      </c>
      <c r="L58" s="215" t="e">
        <f t="shared" si="40"/>
        <v>#REF!</v>
      </c>
      <c r="M58" s="157" t="e">
        <f t="shared" si="40"/>
        <v>#REF!</v>
      </c>
      <c r="N58" s="157">
        <f>N59+N62</f>
        <v>600</v>
      </c>
      <c r="O58" s="157">
        <f>P58-N58</f>
        <v>-100</v>
      </c>
      <c r="P58" s="157">
        <f>P59+P62</f>
        <v>500</v>
      </c>
      <c r="Q58" s="157" t="e">
        <f>Q61+Q78+Q110</f>
        <v>#REF!</v>
      </c>
      <c r="R58" s="157" t="e">
        <f>R61+R78+R110</f>
        <v>#REF!</v>
      </c>
      <c r="T58" s="217"/>
    </row>
    <row r="59" spans="1:20" s="177" customFormat="1" x14ac:dyDescent="0.25">
      <c r="A59" s="323">
        <v>32</v>
      </c>
      <c r="B59" s="324"/>
      <c r="C59" s="325"/>
      <c r="D59" s="216" t="s">
        <v>37</v>
      </c>
      <c r="E59" s="215" t="e">
        <f>E61+E64+#REF!+E94</f>
        <v>#REF!</v>
      </c>
      <c r="F59" s="215" t="e">
        <f>F61+F64+#REF!+F94</f>
        <v>#REF!</v>
      </c>
      <c r="G59" s="215" t="e">
        <f>G61+G64+#REF!+G94</f>
        <v>#REF!</v>
      </c>
      <c r="H59" s="215" t="e">
        <f>H61+H64+#REF!+H94</f>
        <v>#REF!</v>
      </c>
      <c r="I59" s="215" t="e">
        <f>I61+I64+#REF!+I94</f>
        <v>#REF!</v>
      </c>
      <c r="J59" s="157" t="e">
        <f>J61+J64+#REF!+J94</f>
        <v>#REF!</v>
      </c>
      <c r="K59" s="157" t="e">
        <f>K61+K64+#REF!+K94</f>
        <v>#REF!</v>
      </c>
      <c r="L59" s="215" t="e">
        <f>L61+L64+#REF!+L94</f>
        <v>#REF!</v>
      </c>
      <c r="M59" s="157" t="e">
        <f>M61+M64+#REF!+M94</f>
        <v>#REF!</v>
      </c>
      <c r="N59" s="157">
        <f>N60</f>
        <v>200</v>
      </c>
      <c r="O59" s="157">
        <f t="shared" ref="O59:O61" si="41">P59-N59</f>
        <v>0</v>
      </c>
      <c r="P59" s="157">
        <f>P60</f>
        <v>200</v>
      </c>
      <c r="Q59" s="157" t="e">
        <f>Q61+Q64+#REF!+Q94</f>
        <v>#REF!</v>
      </c>
      <c r="R59" s="157" t="e">
        <f>R61+R64+#REF!+R94</f>
        <v>#REF!</v>
      </c>
      <c r="T59" s="217"/>
    </row>
    <row r="60" spans="1:20" s="185" customFormat="1" hidden="1" x14ac:dyDescent="0.25">
      <c r="A60" s="283">
        <v>323</v>
      </c>
      <c r="B60" s="284"/>
      <c r="C60" s="285"/>
      <c r="D60" s="44" t="s">
        <v>75</v>
      </c>
      <c r="E60" s="47" t="e">
        <f t="shared" ref="E60:M60" si="42">SUM(E61:E78)</f>
        <v>#REF!</v>
      </c>
      <c r="F60" s="47" t="e">
        <f t="shared" si="42"/>
        <v>#REF!</v>
      </c>
      <c r="G60" s="47" t="e">
        <f t="shared" si="42"/>
        <v>#REF!</v>
      </c>
      <c r="H60" s="47" t="e">
        <f t="shared" si="42"/>
        <v>#REF!</v>
      </c>
      <c r="I60" s="47" t="e">
        <f t="shared" si="42"/>
        <v>#REF!</v>
      </c>
      <c r="J60" s="56" t="e">
        <f t="shared" si="42"/>
        <v>#REF!</v>
      </c>
      <c r="K60" s="56" t="e">
        <f t="shared" si="42"/>
        <v>#REF!</v>
      </c>
      <c r="L60" s="47" t="e">
        <f t="shared" si="42"/>
        <v>#REF!</v>
      </c>
      <c r="M60" s="56" t="e">
        <f t="shared" si="42"/>
        <v>#REF!</v>
      </c>
      <c r="N60" s="56">
        <f>N61</f>
        <v>200</v>
      </c>
      <c r="O60" s="212">
        <f t="shared" si="41"/>
        <v>0</v>
      </c>
      <c r="P60" s="56">
        <f>P61</f>
        <v>200</v>
      </c>
      <c r="Q60" s="56" t="e">
        <f>SUM(Q61:Q78)</f>
        <v>#REF!</v>
      </c>
      <c r="R60" s="56" t="e">
        <f>SUM(R61:R78)</f>
        <v>#REF!</v>
      </c>
    </row>
    <row r="61" spans="1:20" s="171" customFormat="1" hidden="1" x14ac:dyDescent="0.25">
      <c r="A61" s="286">
        <v>3231</v>
      </c>
      <c r="B61" s="287"/>
      <c r="C61" s="288"/>
      <c r="D61" s="43" t="s">
        <v>158</v>
      </c>
      <c r="E61" s="48"/>
      <c r="F61" s="48"/>
      <c r="G61" s="48"/>
      <c r="H61" s="48"/>
      <c r="I61" s="48"/>
      <c r="J61" s="175"/>
      <c r="K61" s="175"/>
      <c r="L61" s="48"/>
      <c r="M61" s="175"/>
      <c r="N61" s="175">
        <v>200</v>
      </c>
      <c r="O61" s="211">
        <f t="shared" si="41"/>
        <v>0</v>
      </c>
      <c r="P61" s="175">
        <v>200</v>
      </c>
      <c r="Q61" s="175"/>
      <c r="R61" s="175"/>
    </row>
    <row r="62" spans="1:20" x14ac:dyDescent="0.25">
      <c r="A62" s="314">
        <v>34</v>
      </c>
      <c r="B62" s="315"/>
      <c r="C62" s="316"/>
      <c r="D62" s="41" t="s">
        <v>87</v>
      </c>
      <c r="E62" s="87" t="e">
        <f>#REF!</f>
        <v>#REF!</v>
      </c>
      <c r="F62" s="87" t="e">
        <f>#REF!</f>
        <v>#REF!</v>
      </c>
      <c r="G62" s="87" t="e">
        <f>#REF!</f>
        <v>#REF!</v>
      </c>
      <c r="H62" s="87" t="e">
        <f>#REF!</f>
        <v>#REF!</v>
      </c>
      <c r="I62" s="87" t="e">
        <f>#REF!</f>
        <v>#REF!</v>
      </c>
      <c r="J62" s="88" t="e">
        <f>#REF!</f>
        <v>#REF!</v>
      </c>
      <c r="K62" s="88" t="e">
        <f>#REF!</f>
        <v>#REF!</v>
      </c>
      <c r="L62" s="87" t="e">
        <f>#REF!</f>
        <v>#REF!</v>
      </c>
      <c r="M62" s="88" t="e">
        <f>#REF!</f>
        <v>#REF!</v>
      </c>
      <c r="N62" s="156">
        <f>N63</f>
        <v>400</v>
      </c>
      <c r="O62" s="157">
        <f t="shared" ref="O62" si="43">P62-N62</f>
        <v>-100</v>
      </c>
      <c r="P62" s="156">
        <f>P63</f>
        <v>300</v>
      </c>
      <c r="Q62" s="88" t="e">
        <f>#REF!</f>
        <v>#REF!</v>
      </c>
      <c r="R62" s="88" t="e">
        <f>#REF!</f>
        <v>#REF!</v>
      </c>
    </row>
    <row r="63" spans="1:20" s="185" customFormat="1" hidden="1" x14ac:dyDescent="0.25">
      <c r="A63" s="283">
        <v>343</v>
      </c>
      <c r="B63" s="284"/>
      <c r="C63" s="285"/>
      <c r="D63" s="44" t="s">
        <v>88</v>
      </c>
      <c r="E63" s="47">
        <f>E64</f>
        <v>2525.79</v>
      </c>
      <c r="F63" s="47" t="e">
        <f t="shared" ref="F63:R63" si="44">F64</f>
        <v>#REF!</v>
      </c>
      <c r="G63" s="47">
        <f t="shared" si="44"/>
        <v>2800</v>
      </c>
      <c r="H63" s="47" t="e">
        <f t="shared" si="44"/>
        <v>#REF!</v>
      </c>
      <c r="I63" s="47">
        <f t="shared" si="44"/>
        <v>2600</v>
      </c>
      <c r="J63" s="56" t="e">
        <f t="shared" si="44"/>
        <v>#REF!</v>
      </c>
      <c r="K63" s="56" t="e">
        <f t="shared" si="44"/>
        <v>#REF!</v>
      </c>
      <c r="L63" s="47">
        <f t="shared" si="44"/>
        <v>450.84</v>
      </c>
      <c r="M63" s="56">
        <f t="shared" si="44"/>
        <v>380</v>
      </c>
      <c r="N63" s="56">
        <f>N64</f>
        <v>400</v>
      </c>
      <c r="O63" s="184">
        <f t="shared" ref="O63:O64" si="45">P63-N63</f>
        <v>-100</v>
      </c>
      <c r="P63" s="56">
        <f>P64</f>
        <v>300</v>
      </c>
      <c r="Q63" s="56">
        <f t="shared" si="44"/>
        <v>400</v>
      </c>
      <c r="R63" s="56">
        <f t="shared" si="44"/>
        <v>400</v>
      </c>
    </row>
    <row r="64" spans="1:20" s="171" customFormat="1" hidden="1" x14ac:dyDescent="0.25">
      <c r="A64" s="286">
        <v>3431</v>
      </c>
      <c r="B64" s="287"/>
      <c r="C64" s="288"/>
      <c r="D64" s="43" t="s">
        <v>159</v>
      </c>
      <c r="E64" s="48">
        <v>2525.79</v>
      </c>
      <c r="F64" s="172" t="e">
        <f>ROUND(E64/#REF!, 2)</f>
        <v>#REF!</v>
      </c>
      <c r="G64" s="48">
        <v>2800</v>
      </c>
      <c r="H64" s="172" t="e">
        <f>ROUND(G64/#REF!, 2)</f>
        <v>#REF!</v>
      </c>
      <c r="I64" s="173">
        <v>2600</v>
      </c>
      <c r="J64" s="174" t="e">
        <f>ROUND(I64/#REF!, 2)</f>
        <v>#REF!</v>
      </c>
      <c r="K64" s="175" t="e">
        <f>M64-J64</f>
        <v>#REF!</v>
      </c>
      <c r="L64" s="48">
        <f>3396.87/7.5345</f>
        <v>450.84</v>
      </c>
      <c r="M64" s="175">
        <f>345+35</f>
        <v>380</v>
      </c>
      <c r="N64" s="175">
        <v>400</v>
      </c>
      <c r="O64" s="176">
        <f t="shared" si="45"/>
        <v>-100</v>
      </c>
      <c r="P64" s="175">
        <v>300</v>
      </c>
      <c r="Q64" s="175">
        <v>400</v>
      </c>
      <c r="R64" s="175">
        <v>400</v>
      </c>
    </row>
    <row r="65" spans="1:20" s="177" customFormat="1" ht="15" customHeight="1" x14ac:dyDescent="0.25">
      <c r="A65" s="276" t="s">
        <v>154</v>
      </c>
      <c r="B65" s="277"/>
      <c r="C65" s="278"/>
      <c r="D65" s="192" t="s">
        <v>104</v>
      </c>
      <c r="E65" s="200">
        <v>25000</v>
      </c>
      <c r="F65" s="201" t="e">
        <f>ROUND(E65/#REF!, 2)</f>
        <v>#REF!</v>
      </c>
      <c r="G65" s="200">
        <v>25000</v>
      </c>
      <c r="H65" s="201" t="e">
        <f>ROUND(G65/#REF!, 2)</f>
        <v>#REF!</v>
      </c>
      <c r="I65" s="200">
        <v>27125</v>
      </c>
      <c r="J65" s="202">
        <v>3600</v>
      </c>
      <c r="K65" s="203">
        <f>M65-J65</f>
        <v>5000</v>
      </c>
      <c r="L65" s="204">
        <f>27000/7.5345</f>
        <v>3583.52</v>
      </c>
      <c r="M65" s="205">
        <v>8600</v>
      </c>
      <c r="N65" s="206">
        <f>N66</f>
        <v>0</v>
      </c>
      <c r="O65" s="195">
        <f>P65-N65</f>
        <v>3375</v>
      </c>
      <c r="P65" s="206">
        <f>P66</f>
        <v>3375</v>
      </c>
      <c r="Q65" s="205">
        <v>8000</v>
      </c>
      <c r="R65" s="205">
        <v>8000</v>
      </c>
    </row>
    <row r="66" spans="1:20" x14ac:dyDescent="0.25">
      <c r="A66" s="304">
        <v>3</v>
      </c>
      <c r="B66" s="304"/>
      <c r="C66" s="304"/>
      <c r="D66" s="117" t="s">
        <v>18</v>
      </c>
      <c r="E66" s="89" t="e">
        <f>E77+#REF!+E118</f>
        <v>#REF!</v>
      </c>
      <c r="F66" s="89" t="e">
        <f>F77+#REF!+F118</f>
        <v>#REF!</v>
      </c>
      <c r="G66" s="89" t="e">
        <f>G77+#REF!+G118</f>
        <v>#REF!</v>
      </c>
      <c r="H66" s="89" t="e">
        <f>H77+#REF!+H118</f>
        <v>#REF!</v>
      </c>
      <c r="I66" s="89" t="e">
        <f>I77+#REF!+I118</f>
        <v>#REF!</v>
      </c>
      <c r="J66" s="90" t="e">
        <f>J77+#REF!+J118</f>
        <v>#REF!</v>
      </c>
      <c r="K66" s="90" t="e">
        <f>K77+#REF!+K118</f>
        <v>#REF!</v>
      </c>
      <c r="L66" s="89" t="e">
        <f>L77+#REF!+L118</f>
        <v>#REF!</v>
      </c>
      <c r="M66" s="90" t="e">
        <f>M77+#REF!+M118</f>
        <v>#REF!</v>
      </c>
      <c r="N66" s="157">
        <f>N67+N72</f>
        <v>0</v>
      </c>
      <c r="O66" s="157">
        <f>P66-N66</f>
        <v>3375</v>
      </c>
      <c r="P66" s="157">
        <f>P67+P72</f>
        <v>3375</v>
      </c>
      <c r="Q66" s="90" t="e">
        <f>Q77+#REF!+Q118</f>
        <v>#REF!</v>
      </c>
      <c r="R66" s="90" t="e">
        <f>R77+#REF!+R118</f>
        <v>#REF!</v>
      </c>
      <c r="T66" s="142"/>
    </row>
    <row r="67" spans="1:20" x14ac:dyDescent="0.25">
      <c r="A67" s="305">
        <v>31</v>
      </c>
      <c r="B67" s="306"/>
      <c r="C67" s="307"/>
      <c r="D67" s="118" t="s">
        <v>19</v>
      </c>
      <c r="E67" s="89" t="e">
        <f t="shared" ref="E67:M67" si="46">E77+E79+E83+E102</f>
        <v>#REF!</v>
      </c>
      <c r="F67" s="89" t="e">
        <f t="shared" si="46"/>
        <v>#REF!</v>
      </c>
      <c r="G67" s="89" t="e">
        <f t="shared" si="46"/>
        <v>#REF!</v>
      </c>
      <c r="H67" s="89" t="e">
        <f t="shared" si="46"/>
        <v>#REF!</v>
      </c>
      <c r="I67" s="89" t="e">
        <f t="shared" si="46"/>
        <v>#REF!</v>
      </c>
      <c r="J67" s="90" t="e">
        <f t="shared" si="46"/>
        <v>#REF!</v>
      </c>
      <c r="K67" s="90" t="e">
        <f t="shared" si="46"/>
        <v>#REF!</v>
      </c>
      <c r="L67" s="89" t="e">
        <f t="shared" si="46"/>
        <v>#REF!</v>
      </c>
      <c r="M67" s="90" t="e">
        <f t="shared" si="46"/>
        <v>#REF!</v>
      </c>
      <c r="N67" s="157">
        <f>N68</f>
        <v>0</v>
      </c>
      <c r="O67" s="157">
        <f t="shared" ref="O67:O68" si="47">P67-N67</f>
        <v>1740</v>
      </c>
      <c r="P67" s="157">
        <f>P68+P70</f>
        <v>1740</v>
      </c>
      <c r="Q67" s="90" t="e">
        <f>Q77+Q79+Q83+Q102</f>
        <v>#REF!</v>
      </c>
      <c r="R67" s="90" t="e">
        <f>R77+R79+R83+R102</f>
        <v>#REF!</v>
      </c>
      <c r="T67" s="142"/>
    </row>
    <row r="68" spans="1:20" s="185" customFormat="1" hidden="1" x14ac:dyDescent="0.25">
      <c r="A68" s="309">
        <v>311</v>
      </c>
      <c r="B68" s="309"/>
      <c r="C68" s="309"/>
      <c r="D68" s="44" t="s">
        <v>59</v>
      </c>
      <c r="E68" s="47">
        <f>E69</f>
        <v>193971.91</v>
      </c>
      <c r="F68" s="47" t="e">
        <f t="shared" ref="F68:R68" si="48">F69</f>
        <v>#REF!</v>
      </c>
      <c r="G68" s="47">
        <f t="shared" si="48"/>
        <v>219000</v>
      </c>
      <c r="H68" s="47" t="e">
        <f t="shared" si="48"/>
        <v>#REF!</v>
      </c>
      <c r="I68" s="47">
        <f t="shared" si="48"/>
        <v>230028</v>
      </c>
      <c r="J68" s="56" t="e">
        <f t="shared" si="48"/>
        <v>#REF!</v>
      </c>
      <c r="K68" s="56" t="e">
        <f t="shared" si="48"/>
        <v>#REF!</v>
      </c>
      <c r="L68" s="47">
        <f t="shared" si="48"/>
        <v>27892.21</v>
      </c>
      <c r="M68" s="56">
        <f t="shared" si="48"/>
        <v>30330</v>
      </c>
      <c r="N68" s="56">
        <f>N69</f>
        <v>0</v>
      </c>
      <c r="O68" s="212">
        <f t="shared" si="47"/>
        <v>1500</v>
      </c>
      <c r="P68" s="56">
        <f>P69</f>
        <v>1500</v>
      </c>
      <c r="Q68" s="56">
        <f t="shared" si="48"/>
        <v>32650</v>
      </c>
      <c r="R68" s="56">
        <f t="shared" si="48"/>
        <v>33450</v>
      </c>
    </row>
    <row r="69" spans="1:20" ht="14.25" hidden="1" customHeight="1" x14ac:dyDescent="0.25">
      <c r="A69" s="313">
        <v>3111</v>
      </c>
      <c r="B69" s="313"/>
      <c r="C69" s="313"/>
      <c r="D69" s="43" t="s">
        <v>160</v>
      </c>
      <c r="E69" s="48">
        <v>193971.91</v>
      </c>
      <c r="F69" s="69" t="e">
        <f>ROUND(E69/#REF!, 2)</f>
        <v>#REF!</v>
      </c>
      <c r="G69" s="48">
        <v>219000</v>
      </c>
      <c r="H69" s="69" t="e">
        <f>ROUND(G69/#REF!, 2)</f>
        <v>#REF!</v>
      </c>
      <c r="I69" s="48">
        <v>230028</v>
      </c>
      <c r="J69" s="60" t="e">
        <f>ROUND(I69/#REF!, 2)</f>
        <v>#REF!</v>
      </c>
      <c r="K69" s="61" t="e">
        <f>M69-J69</f>
        <v>#REF!</v>
      </c>
      <c r="L69" s="132">
        <f>210153.88/7.5345</f>
        <v>27892.21</v>
      </c>
      <c r="M69" s="62">
        <v>30330</v>
      </c>
      <c r="N69" s="154">
        <v>0</v>
      </c>
      <c r="O69" s="211">
        <f>P69-N69</f>
        <v>1500</v>
      </c>
      <c r="P69" s="154">
        <v>1500</v>
      </c>
      <c r="Q69" s="62">
        <v>32650</v>
      </c>
      <c r="R69" s="62">
        <v>33450</v>
      </c>
    </row>
    <row r="70" spans="1:20" s="185" customFormat="1" hidden="1" x14ac:dyDescent="0.25">
      <c r="A70" s="309">
        <v>313</v>
      </c>
      <c r="B70" s="309"/>
      <c r="C70" s="309"/>
      <c r="D70" s="44" t="s">
        <v>63</v>
      </c>
      <c r="E70" s="47" t="e">
        <f>E71</f>
        <v>#REF!</v>
      </c>
      <c r="F70" s="47" t="e">
        <f t="shared" ref="F70:R70" si="49">F71</f>
        <v>#REF!</v>
      </c>
      <c r="G70" s="47" t="e">
        <f t="shared" si="49"/>
        <v>#REF!</v>
      </c>
      <c r="H70" s="47" t="e">
        <f t="shared" si="49"/>
        <v>#REF!</v>
      </c>
      <c r="I70" s="47" t="e">
        <f t="shared" si="49"/>
        <v>#REF!</v>
      </c>
      <c r="J70" s="56" t="e">
        <f t="shared" si="49"/>
        <v>#REF!</v>
      </c>
      <c r="K70" s="56" t="e">
        <f t="shared" si="49"/>
        <v>#REF!</v>
      </c>
      <c r="L70" s="47">
        <f t="shared" si="49"/>
        <v>4602.22</v>
      </c>
      <c r="M70" s="56">
        <f t="shared" si="49"/>
        <v>5040</v>
      </c>
      <c r="N70" s="56">
        <f>N71</f>
        <v>0</v>
      </c>
      <c r="O70" s="212">
        <f t="shared" ref="O70:O75" si="50">P70-N70</f>
        <v>240</v>
      </c>
      <c r="P70" s="56">
        <f>P71</f>
        <v>240</v>
      </c>
      <c r="Q70" s="56">
        <f t="shared" si="49"/>
        <v>5390</v>
      </c>
      <c r="R70" s="56">
        <f t="shared" si="49"/>
        <v>5520</v>
      </c>
    </row>
    <row r="71" spans="1:20" hidden="1" x14ac:dyDescent="0.25">
      <c r="A71" s="308">
        <v>3132</v>
      </c>
      <c r="B71" s="308"/>
      <c r="C71" s="308"/>
      <c r="D71" s="119" t="s">
        <v>64</v>
      </c>
      <c r="E71" s="59" t="e">
        <f>E66*16.5/100-0.05</f>
        <v>#REF!</v>
      </c>
      <c r="F71" s="69" t="e">
        <f>ROUND(E71/#REF!, 2)</f>
        <v>#REF!</v>
      </c>
      <c r="G71" s="59" t="e">
        <f>G66*16.5/100</f>
        <v>#REF!</v>
      </c>
      <c r="H71" s="69" t="e">
        <f>ROUND(G71/#REF!, 2)</f>
        <v>#REF!</v>
      </c>
      <c r="I71" s="59" t="e">
        <f>I66*16.5/100+20</f>
        <v>#REF!</v>
      </c>
      <c r="J71" s="60" t="e">
        <f>ROUND(I71/#REF!, 2)</f>
        <v>#REF!</v>
      </c>
      <c r="K71" s="60" t="e">
        <f>M71-J71</f>
        <v>#REF!</v>
      </c>
      <c r="L71" s="69">
        <f>34675.39/7.5345</f>
        <v>4602.22</v>
      </c>
      <c r="M71" s="60">
        <v>5040</v>
      </c>
      <c r="N71" s="155">
        <v>0</v>
      </c>
      <c r="O71" s="211">
        <f t="shared" si="50"/>
        <v>240</v>
      </c>
      <c r="P71" s="155">
        <v>240</v>
      </c>
      <c r="Q71" s="60">
        <v>5390</v>
      </c>
      <c r="R71" s="60">
        <v>5520</v>
      </c>
    </row>
    <row r="72" spans="1:20" x14ac:dyDescent="0.25">
      <c r="A72" s="305">
        <v>32</v>
      </c>
      <c r="B72" s="306"/>
      <c r="C72" s="307"/>
      <c r="D72" s="118" t="s">
        <v>37</v>
      </c>
      <c r="E72" s="89" t="e">
        <f t="shared" ref="E72:M72" si="51">E73+E79+E81+E99</f>
        <v>#REF!</v>
      </c>
      <c r="F72" s="89" t="e">
        <f t="shared" si="51"/>
        <v>#REF!</v>
      </c>
      <c r="G72" s="89" t="e">
        <f t="shared" si="51"/>
        <v>#REF!</v>
      </c>
      <c r="H72" s="89" t="e">
        <f t="shared" si="51"/>
        <v>#REF!</v>
      </c>
      <c r="I72" s="89" t="e">
        <f t="shared" si="51"/>
        <v>#REF!</v>
      </c>
      <c r="J72" s="90" t="e">
        <f t="shared" si="51"/>
        <v>#REF!</v>
      </c>
      <c r="K72" s="90" t="e">
        <f t="shared" si="51"/>
        <v>#REF!</v>
      </c>
      <c r="L72" s="89" t="e">
        <f t="shared" si="51"/>
        <v>#REF!</v>
      </c>
      <c r="M72" s="90" t="e">
        <f t="shared" si="51"/>
        <v>#REF!</v>
      </c>
      <c r="N72" s="157">
        <f>N73</f>
        <v>0</v>
      </c>
      <c r="O72" s="157">
        <f t="shared" si="50"/>
        <v>1635</v>
      </c>
      <c r="P72" s="157">
        <f>P73+P75</f>
        <v>1635</v>
      </c>
      <c r="Q72" s="90" t="e">
        <f>Q73+Q79+Q81+Q99</f>
        <v>#REF!</v>
      </c>
      <c r="R72" s="90" t="e">
        <f>R73+R79+R81+R99</f>
        <v>#REF!</v>
      </c>
      <c r="T72" s="142"/>
    </row>
    <row r="73" spans="1:20" s="185" customFormat="1" hidden="1" x14ac:dyDescent="0.25">
      <c r="A73" s="283">
        <v>321</v>
      </c>
      <c r="B73" s="284"/>
      <c r="C73" s="285"/>
      <c r="D73" s="44" t="s">
        <v>65</v>
      </c>
      <c r="E73" s="47" t="e">
        <f t="shared" ref="E73:M73" si="52">SUM(E74:E78)</f>
        <v>#REF!</v>
      </c>
      <c r="F73" s="47" t="e">
        <f t="shared" si="52"/>
        <v>#REF!</v>
      </c>
      <c r="G73" s="47" t="e">
        <f t="shared" si="52"/>
        <v>#REF!</v>
      </c>
      <c r="H73" s="47" t="e">
        <f t="shared" si="52"/>
        <v>#REF!</v>
      </c>
      <c r="I73" s="47" t="e">
        <f t="shared" si="52"/>
        <v>#REF!</v>
      </c>
      <c r="J73" s="56" t="e">
        <f t="shared" si="52"/>
        <v>#REF!</v>
      </c>
      <c r="K73" s="56" t="e">
        <f t="shared" si="52"/>
        <v>#REF!</v>
      </c>
      <c r="L73" s="47" t="e">
        <f t="shared" si="52"/>
        <v>#REF!</v>
      </c>
      <c r="M73" s="56" t="e">
        <f t="shared" si="52"/>
        <v>#REF!</v>
      </c>
      <c r="N73" s="56">
        <f>N74</f>
        <v>0</v>
      </c>
      <c r="O73" s="212">
        <f t="shared" si="50"/>
        <v>35</v>
      </c>
      <c r="P73" s="56">
        <f>P74</f>
        <v>35</v>
      </c>
      <c r="Q73" s="56" t="e">
        <f>SUM(Q74:Q78)</f>
        <v>#REF!</v>
      </c>
      <c r="R73" s="56" t="e">
        <f>SUM(R74:R78)</f>
        <v>#REF!</v>
      </c>
    </row>
    <row r="74" spans="1:20" ht="26.25" hidden="1" x14ac:dyDescent="0.25">
      <c r="A74" s="310">
        <v>3212</v>
      </c>
      <c r="B74" s="311"/>
      <c r="C74" s="312"/>
      <c r="D74" s="42" t="s">
        <v>161</v>
      </c>
      <c r="E74" s="48">
        <v>0</v>
      </c>
      <c r="F74" s="69" t="e">
        <f>ROUND(E74/#REF!, 2)</f>
        <v>#REF!</v>
      </c>
      <c r="G74" s="48">
        <v>1000</v>
      </c>
      <c r="H74" s="69" t="e">
        <f>ROUND(G74/#REF!, 2)</f>
        <v>#REF!</v>
      </c>
      <c r="I74" s="48">
        <v>1130</v>
      </c>
      <c r="J74" s="60" t="e">
        <f>ROUND(I74/#REF!, 2)</f>
        <v>#REF!</v>
      </c>
      <c r="K74" s="61" t="e">
        <f t="shared" ref="K74" si="53">M74-J74</f>
        <v>#REF!</v>
      </c>
      <c r="L74" s="132">
        <f>170/7.5345</f>
        <v>22.56</v>
      </c>
      <c r="M74" s="62">
        <v>150</v>
      </c>
      <c r="N74" s="154">
        <v>0</v>
      </c>
      <c r="O74" s="211">
        <f t="shared" si="50"/>
        <v>35</v>
      </c>
      <c r="P74" s="154">
        <v>35</v>
      </c>
      <c r="Q74" s="62">
        <v>150</v>
      </c>
      <c r="R74" s="62">
        <v>150</v>
      </c>
    </row>
    <row r="75" spans="1:20" s="185" customFormat="1" hidden="1" x14ac:dyDescent="0.25">
      <c r="A75" s="283">
        <v>323</v>
      </c>
      <c r="B75" s="284"/>
      <c r="C75" s="285"/>
      <c r="D75" s="44" t="s">
        <v>75</v>
      </c>
      <c r="E75" s="47" t="e">
        <f t="shared" ref="E75:M75" si="54">SUM(E76:E94)</f>
        <v>#REF!</v>
      </c>
      <c r="F75" s="47" t="e">
        <f t="shared" si="54"/>
        <v>#REF!</v>
      </c>
      <c r="G75" s="47" t="e">
        <f t="shared" si="54"/>
        <v>#REF!</v>
      </c>
      <c r="H75" s="47" t="e">
        <f t="shared" si="54"/>
        <v>#REF!</v>
      </c>
      <c r="I75" s="47" t="e">
        <f t="shared" si="54"/>
        <v>#REF!</v>
      </c>
      <c r="J75" s="56" t="e">
        <f t="shared" si="54"/>
        <v>#REF!</v>
      </c>
      <c r="K75" s="56" t="e">
        <f t="shared" si="54"/>
        <v>#REF!</v>
      </c>
      <c r="L75" s="47" t="e">
        <f t="shared" si="54"/>
        <v>#REF!</v>
      </c>
      <c r="M75" s="56" t="e">
        <f t="shared" si="54"/>
        <v>#REF!</v>
      </c>
      <c r="N75" s="56">
        <f>N76</f>
        <v>0</v>
      </c>
      <c r="O75" s="212">
        <f t="shared" si="50"/>
        <v>1600</v>
      </c>
      <c r="P75" s="56">
        <f>P76</f>
        <v>1600</v>
      </c>
      <c r="Q75" s="56" t="e">
        <f>SUM(Q76:Q94)</f>
        <v>#REF!</v>
      </c>
      <c r="R75" s="56" t="e">
        <f>SUM(R76:R94)</f>
        <v>#REF!</v>
      </c>
    </row>
    <row r="76" spans="1:20" s="171" customFormat="1" hidden="1" x14ac:dyDescent="0.25">
      <c r="A76" s="286">
        <v>3233</v>
      </c>
      <c r="B76" s="287"/>
      <c r="C76" s="288"/>
      <c r="D76" s="43" t="s">
        <v>77</v>
      </c>
      <c r="E76" s="48"/>
      <c r="F76" s="48"/>
      <c r="G76" s="48"/>
      <c r="H76" s="48"/>
      <c r="I76" s="48"/>
      <c r="J76" s="175"/>
      <c r="K76" s="175"/>
      <c r="L76" s="48"/>
      <c r="M76" s="175"/>
      <c r="N76" s="175">
        <v>0</v>
      </c>
      <c r="O76" s="176">
        <f>P76-N76</f>
        <v>1600</v>
      </c>
      <c r="P76" s="175">
        <v>1600</v>
      </c>
      <c r="Q76" s="175"/>
      <c r="R76" s="175"/>
    </row>
    <row r="77" spans="1:20" ht="26.45" customHeight="1" x14ac:dyDescent="0.25">
      <c r="A77" s="292" t="s">
        <v>98</v>
      </c>
      <c r="B77" s="293"/>
      <c r="C77" s="294"/>
      <c r="D77" s="116" t="s">
        <v>99</v>
      </c>
      <c r="E77" s="93" t="e">
        <f>E79</f>
        <v>#REF!</v>
      </c>
      <c r="F77" s="93" t="e">
        <f t="shared" ref="F77:M77" si="55">F79</f>
        <v>#REF!</v>
      </c>
      <c r="G77" s="93" t="e">
        <f t="shared" si="55"/>
        <v>#REF!</v>
      </c>
      <c r="H77" s="93" t="e">
        <f t="shared" si="55"/>
        <v>#REF!</v>
      </c>
      <c r="I77" s="93" t="e">
        <f t="shared" si="55"/>
        <v>#REF!</v>
      </c>
      <c r="J77" s="94" t="e">
        <f t="shared" si="55"/>
        <v>#REF!</v>
      </c>
      <c r="K77" s="94" t="e">
        <f t="shared" si="55"/>
        <v>#REF!</v>
      </c>
      <c r="L77" s="93" t="e">
        <f t="shared" ref="L77" si="56">L79</f>
        <v>#REF!</v>
      </c>
      <c r="M77" s="94" t="e">
        <f t="shared" si="55"/>
        <v>#REF!</v>
      </c>
      <c r="N77" s="164">
        <f>N78+N86</f>
        <v>8000</v>
      </c>
      <c r="O77" s="164">
        <f>P77-N77</f>
        <v>157900</v>
      </c>
      <c r="P77" s="164">
        <f>P78+P86</f>
        <v>165900</v>
      </c>
      <c r="Q77" s="94" t="e">
        <f t="shared" ref="Q77" si="57">Q79</f>
        <v>#REF!</v>
      </c>
      <c r="R77" s="94" t="e">
        <f t="shared" ref="R77" si="58">R79</f>
        <v>#REF!</v>
      </c>
    </row>
    <row r="78" spans="1:20" s="177" customFormat="1" ht="28.9" customHeight="1" x14ac:dyDescent="0.25">
      <c r="A78" s="276" t="s">
        <v>162</v>
      </c>
      <c r="B78" s="277"/>
      <c r="C78" s="278"/>
      <c r="D78" s="192" t="s">
        <v>105</v>
      </c>
      <c r="E78" s="200" t="e">
        <f>E79-#REF!</f>
        <v>#REF!</v>
      </c>
      <c r="F78" s="201" t="e">
        <f>ROUND(E78/#REF!, 2)</f>
        <v>#REF!</v>
      </c>
      <c r="G78" s="200" t="e">
        <f>G79-#REF!</f>
        <v>#REF!</v>
      </c>
      <c r="H78" s="200" t="e">
        <f>H79-#REF!</f>
        <v>#REF!</v>
      </c>
      <c r="I78" s="200" t="e">
        <f>I79-#REF!</f>
        <v>#REF!</v>
      </c>
      <c r="J78" s="207" t="e">
        <f>J79-#REF!</f>
        <v>#REF!</v>
      </c>
      <c r="K78" s="207" t="e">
        <f>M78-J78</f>
        <v>#REF!</v>
      </c>
      <c r="L78" s="200">
        <f>4280.26/7.5345-0.01</f>
        <v>568.08000000000004</v>
      </c>
      <c r="M78" s="207" t="e">
        <f>M79-#REF!</f>
        <v>#REF!</v>
      </c>
      <c r="N78" s="195">
        <f>N79</f>
        <v>0</v>
      </c>
      <c r="O78" s="195">
        <f>P78-N78</f>
        <v>44100</v>
      </c>
      <c r="P78" s="195">
        <f>P79</f>
        <v>44100</v>
      </c>
      <c r="Q78" s="207" t="e">
        <f>Q79-#REF!</f>
        <v>#REF!</v>
      </c>
      <c r="R78" s="207" t="e">
        <f>R79-#REF!</f>
        <v>#REF!</v>
      </c>
    </row>
    <row r="79" spans="1:20" ht="15" customHeight="1" x14ac:dyDescent="0.25">
      <c r="A79" s="314">
        <v>4</v>
      </c>
      <c r="B79" s="315"/>
      <c r="C79" s="316"/>
      <c r="D79" s="41" t="s">
        <v>20</v>
      </c>
      <c r="E79" s="87" t="e">
        <f>E80</f>
        <v>#REF!</v>
      </c>
      <c r="F79" s="87" t="e">
        <f t="shared" ref="F79:I79" si="59">F80</f>
        <v>#REF!</v>
      </c>
      <c r="G79" s="87" t="e">
        <f t="shared" si="59"/>
        <v>#REF!</v>
      </c>
      <c r="H79" s="87" t="e">
        <f t="shared" si="59"/>
        <v>#REF!</v>
      </c>
      <c r="I79" s="87" t="e">
        <f t="shared" si="59"/>
        <v>#REF!</v>
      </c>
      <c r="J79" s="88" t="e">
        <f>J80+J83</f>
        <v>#REF!</v>
      </c>
      <c r="K79" s="88" t="e">
        <f>K80+K83</f>
        <v>#REF!</v>
      </c>
      <c r="L79" s="87" t="e">
        <f>L80+L83</f>
        <v>#REF!</v>
      </c>
      <c r="M79" s="88" t="e">
        <f>M80+M83</f>
        <v>#REF!</v>
      </c>
      <c r="N79" s="156">
        <f>N80+N83</f>
        <v>0</v>
      </c>
      <c r="O79" s="156">
        <f>P79-N79</f>
        <v>44100</v>
      </c>
      <c r="P79" s="156">
        <f>P80+P83</f>
        <v>44100</v>
      </c>
      <c r="Q79" s="88" t="e">
        <f>Q80+Q83</f>
        <v>#REF!</v>
      </c>
      <c r="R79" s="88" t="e">
        <f>R80+R83</f>
        <v>#REF!</v>
      </c>
    </row>
    <row r="80" spans="1:20" ht="30" customHeight="1" x14ac:dyDescent="0.25">
      <c r="A80" s="314">
        <v>42</v>
      </c>
      <c r="B80" s="315"/>
      <c r="C80" s="316"/>
      <c r="D80" s="41" t="s">
        <v>52</v>
      </c>
      <c r="E80" s="87" t="e">
        <f>#REF!+E81</f>
        <v>#REF!</v>
      </c>
      <c r="F80" s="87" t="e">
        <f>#REF!+F81</f>
        <v>#REF!</v>
      </c>
      <c r="G80" s="87" t="e">
        <f>#REF!+G81</f>
        <v>#REF!</v>
      </c>
      <c r="H80" s="87" t="e">
        <f>#REF!+H81</f>
        <v>#REF!</v>
      </c>
      <c r="I80" s="87" t="e">
        <f>#REF!+I81</f>
        <v>#REF!</v>
      </c>
      <c r="J80" s="88" t="e">
        <f>#REF!+J81</f>
        <v>#REF!</v>
      </c>
      <c r="K80" s="88" t="e">
        <f>#REF!+K81</f>
        <v>#REF!</v>
      </c>
      <c r="L80" s="87" t="e">
        <f>#REF!+L81</f>
        <v>#REF!</v>
      </c>
      <c r="M80" s="88" t="e">
        <f>#REF!+M81</f>
        <v>#REF!</v>
      </c>
      <c r="N80" s="156">
        <f>N81</f>
        <v>0</v>
      </c>
      <c r="O80" s="156">
        <f t="shared" ref="O80:O85" si="60">P80-N80</f>
        <v>800</v>
      </c>
      <c r="P80" s="156">
        <f>P81</f>
        <v>800</v>
      </c>
      <c r="Q80" s="88" t="e">
        <f>#REF!+Q81</f>
        <v>#REF!</v>
      </c>
      <c r="R80" s="88" t="e">
        <f>#REF!+R81</f>
        <v>#REF!</v>
      </c>
    </row>
    <row r="81" spans="1:18" s="185" customFormat="1" ht="30.6" hidden="1" customHeight="1" x14ac:dyDescent="0.25">
      <c r="A81" s="283">
        <v>424</v>
      </c>
      <c r="B81" s="284"/>
      <c r="C81" s="285"/>
      <c r="D81" s="44" t="s">
        <v>94</v>
      </c>
      <c r="E81" s="47">
        <f t="shared" ref="E81:M81" si="61">SUM(E82:E82)</f>
        <v>32466.48</v>
      </c>
      <c r="F81" s="47" t="e">
        <f t="shared" si="61"/>
        <v>#REF!</v>
      </c>
      <c r="G81" s="47">
        <f t="shared" si="61"/>
        <v>35000</v>
      </c>
      <c r="H81" s="47" t="e">
        <f t="shared" si="61"/>
        <v>#REF!</v>
      </c>
      <c r="I81" s="47">
        <f t="shared" si="61"/>
        <v>35035</v>
      </c>
      <c r="J81" s="56" t="e">
        <f t="shared" si="61"/>
        <v>#REF!</v>
      </c>
      <c r="K81" s="56" t="e">
        <f t="shared" si="61"/>
        <v>#REF!</v>
      </c>
      <c r="L81" s="47">
        <f t="shared" si="61"/>
        <v>4151.6000000000004</v>
      </c>
      <c r="M81" s="56">
        <f t="shared" si="61"/>
        <v>11000</v>
      </c>
      <c r="N81" s="56">
        <f>N82</f>
        <v>0</v>
      </c>
      <c r="O81" s="179">
        <f t="shared" si="60"/>
        <v>800</v>
      </c>
      <c r="P81" s="56">
        <f>P82</f>
        <v>800</v>
      </c>
      <c r="Q81" s="56">
        <f>SUM(Q82:Q82)</f>
        <v>8000</v>
      </c>
      <c r="R81" s="56">
        <f>SUM(R82:R82)</f>
        <v>8000</v>
      </c>
    </row>
    <row r="82" spans="1:18" ht="15" hidden="1" customHeight="1" x14ac:dyDescent="0.25">
      <c r="A82" s="298">
        <v>4241</v>
      </c>
      <c r="B82" s="299"/>
      <c r="C82" s="300"/>
      <c r="D82" s="42" t="s">
        <v>95</v>
      </c>
      <c r="E82" s="48">
        <v>32466.48</v>
      </c>
      <c r="F82" s="46" t="e">
        <f>ROUND(E82/#REF!, 2)</f>
        <v>#REF!</v>
      </c>
      <c r="G82" s="48">
        <v>35000</v>
      </c>
      <c r="H82" s="46" t="e">
        <f>ROUND(G82/#REF!, 2)</f>
        <v>#REF!</v>
      </c>
      <c r="I82" s="48">
        <v>35035</v>
      </c>
      <c r="J82" s="10" t="e">
        <f>ROUND(I82/#REF!, 2)</f>
        <v>#REF!</v>
      </c>
      <c r="K82" s="11" t="e">
        <f t="shared" ref="K82" si="62">M82-J82</f>
        <v>#REF!</v>
      </c>
      <c r="L82" s="133">
        <f>31280.26/7.5345</f>
        <v>4151.6000000000004</v>
      </c>
      <c r="M82" s="12">
        <v>11000</v>
      </c>
      <c r="N82" s="159">
        <v>0</v>
      </c>
      <c r="O82" s="180">
        <f t="shared" si="60"/>
        <v>800</v>
      </c>
      <c r="P82" s="159">
        <v>800</v>
      </c>
      <c r="Q82" s="12">
        <v>8000</v>
      </c>
      <c r="R82" s="12">
        <v>8000</v>
      </c>
    </row>
    <row r="83" spans="1:18" ht="15" customHeight="1" x14ac:dyDescent="0.25">
      <c r="A83" s="280">
        <v>45</v>
      </c>
      <c r="B83" s="281"/>
      <c r="C83" s="282"/>
      <c r="D83" s="106" t="s">
        <v>127</v>
      </c>
      <c r="E83" s="48"/>
      <c r="F83" s="46"/>
      <c r="G83" s="48"/>
      <c r="H83" s="46"/>
      <c r="I83" s="48"/>
      <c r="J83" s="108">
        <f>J84</f>
        <v>0</v>
      </c>
      <c r="K83" s="109">
        <f t="shared" ref="K83:R84" si="63">K84</f>
        <v>13000</v>
      </c>
      <c r="L83" s="134">
        <f t="shared" si="63"/>
        <v>0</v>
      </c>
      <c r="M83" s="110">
        <f t="shared" si="63"/>
        <v>13000</v>
      </c>
      <c r="N83" s="160">
        <f t="shared" si="63"/>
        <v>0</v>
      </c>
      <c r="O83" s="156">
        <f t="shared" si="60"/>
        <v>43300</v>
      </c>
      <c r="P83" s="160">
        <f>P84</f>
        <v>43300</v>
      </c>
      <c r="Q83" s="110">
        <f t="shared" si="63"/>
        <v>0</v>
      </c>
      <c r="R83" s="110">
        <f t="shared" si="63"/>
        <v>0</v>
      </c>
    </row>
    <row r="84" spans="1:18" s="185" customFormat="1" ht="15" hidden="1" customHeight="1" x14ac:dyDescent="0.25">
      <c r="A84" s="283">
        <v>451</v>
      </c>
      <c r="B84" s="284"/>
      <c r="C84" s="285"/>
      <c r="D84" s="44" t="s">
        <v>128</v>
      </c>
      <c r="E84" s="178"/>
      <c r="F84" s="181"/>
      <c r="G84" s="178"/>
      <c r="H84" s="181"/>
      <c r="I84" s="178"/>
      <c r="J84" s="107">
        <f>J85</f>
        <v>0</v>
      </c>
      <c r="K84" s="111">
        <f t="shared" si="63"/>
        <v>13000</v>
      </c>
      <c r="L84" s="135">
        <f t="shared" si="63"/>
        <v>0</v>
      </c>
      <c r="M84" s="112">
        <f t="shared" si="63"/>
        <v>13000</v>
      </c>
      <c r="N84" s="112">
        <f t="shared" si="63"/>
        <v>0</v>
      </c>
      <c r="O84" s="179">
        <f t="shared" si="60"/>
        <v>43300</v>
      </c>
      <c r="P84" s="112">
        <f>P85</f>
        <v>43300</v>
      </c>
      <c r="Q84" s="112">
        <f t="shared" si="63"/>
        <v>0</v>
      </c>
      <c r="R84" s="112">
        <f t="shared" si="63"/>
        <v>0</v>
      </c>
    </row>
    <row r="85" spans="1:18" ht="15" hidden="1" customHeight="1" x14ac:dyDescent="0.25">
      <c r="A85" s="286">
        <v>4511</v>
      </c>
      <c r="B85" s="287"/>
      <c r="C85" s="288"/>
      <c r="D85" s="43" t="s">
        <v>128</v>
      </c>
      <c r="E85" s="48"/>
      <c r="F85" s="46"/>
      <c r="G85" s="48"/>
      <c r="H85" s="46"/>
      <c r="I85" s="48"/>
      <c r="J85" s="10">
        <v>0</v>
      </c>
      <c r="K85" s="11">
        <f t="shared" ref="K85" si="64">M85-J85</f>
        <v>13000</v>
      </c>
      <c r="L85" s="133">
        <v>0</v>
      </c>
      <c r="M85" s="12">
        <v>13000</v>
      </c>
      <c r="N85" s="159">
        <v>0</v>
      </c>
      <c r="O85" s="180">
        <f t="shared" si="60"/>
        <v>43300</v>
      </c>
      <c r="P85" s="159">
        <v>43300</v>
      </c>
      <c r="Q85" s="12">
        <v>0</v>
      </c>
      <c r="R85" s="12">
        <v>0</v>
      </c>
    </row>
    <row r="86" spans="1:18" s="177" customFormat="1" ht="14.45" customHeight="1" x14ac:dyDescent="0.25">
      <c r="A86" s="276" t="s">
        <v>154</v>
      </c>
      <c r="B86" s="277"/>
      <c r="C86" s="278"/>
      <c r="D86" s="192" t="s">
        <v>104</v>
      </c>
      <c r="E86" s="200">
        <v>0</v>
      </c>
      <c r="F86" s="201" t="e">
        <f>ROUND(E86/#REF!, 2)</f>
        <v>#REF!</v>
      </c>
      <c r="G86" s="200">
        <v>0</v>
      </c>
      <c r="H86" s="201">
        <v>0</v>
      </c>
      <c r="I86" s="208">
        <v>0</v>
      </c>
      <c r="J86" s="202" t="e">
        <f>ROUND(I86/#REF!, 2)</f>
        <v>#REF!</v>
      </c>
      <c r="K86" s="209" t="e">
        <f>M86-J86</f>
        <v>#REF!</v>
      </c>
      <c r="L86" s="208">
        <v>0</v>
      </c>
      <c r="M86" s="209">
        <v>0</v>
      </c>
      <c r="N86" s="210">
        <f>N87</f>
        <v>8000</v>
      </c>
      <c r="O86" s="195">
        <f>P86-N86</f>
        <v>113800</v>
      </c>
      <c r="P86" s="210">
        <f>P87</f>
        <v>121800</v>
      </c>
      <c r="Q86" s="209">
        <v>0</v>
      </c>
      <c r="R86" s="209">
        <v>0</v>
      </c>
    </row>
    <row r="87" spans="1:18" ht="15" customHeight="1" x14ac:dyDescent="0.25">
      <c r="A87" s="314">
        <v>4</v>
      </c>
      <c r="B87" s="315"/>
      <c r="C87" s="316"/>
      <c r="D87" s="41" t="s">
        <v>20</v>
      </c>
      <c r="E87" s="87" t="e">
        <f>E88</f>
        <v>#REF!</v>
      </c>
      <c r="F87" s="87" t="e">
        <f t="shared" ref="F87:I87" si="65">F88</f>
        <v>#REF!</v>
      </c>
      <c r="G87" s="87" t="e">
        <f t="shared" si="65"/>
        <v>#REF!</v>
      </c>
      <c r="H87" s="87" t="e">
        <f t="shared" si="65"/>
        <v>#REF!</v>
      </c>
      <c r="I87" s="87" t="e">
        <f t="shared" si="65"/>
        <v>#REF!</v>
      </c>
      <c r="J87" s="88" t="e">
        <f>J88+J91</f>
        <v>#REF!</v>
      </c>
      <c r="K87" s="88" t="e">
        <f>K88+K91</f>
        <v>#REF!</v>
      </c>
      <c r="L87" s="87" t="e">
        <f>L88+L91</f>
        <v>#REF!</v>
      </c>
      <c r="M87" s="88" t="e">
        <f>M88+M91</f>
        <v>#REF!</v>
      </c>
      <c r="N87" s="156">
        <f>N88+N91</f>
        <v>8000</v>
      </c>
      <c r="O87" s="156">
        <f>P87-N87</f>
        <v>113800</v>
      </c>
      <c r="P87" s="156">
        <f>P88+P91</f>
        <v>121800</v>
      </c>
      <c r="Q87" s="88" t="e">
        <f>Q88+Q91</f>
        <v>#REF!</v>
      </c>
      <c r="R87" s="88" t="e">
        <f>R88+R91</f>
        <v>#REF!</v>
      </c>
    </row>
    <row r="88" spans="1:18" ht="30" customHeight="1" x14ac:dyDescent="0.25">
      <c r="A88" s="314">
        <v>42</v>
      </c>
      <c r="B88" s="315"/>
      <c r="C88" s="316"/>
      <c r="D88" s="41" t="s">
        <v>52</v>
      </c>
      <c r="E88" s="87" t="e">
        <f>#REF!+E89</f>
        <v>#REF!</v>
      </c>
      <c r="F88" s="87" t="e">
        <f>#REF!+F89</f>
        <v>#REF!</v>
      </c>
      <c r="G88" s="87" t="e">
        <f>#REF!+G89</f>
        <v>#REF!</v>
      </c>
      <c r="H88" s="87" t="e">
        <f>#REF!+H89</f>
        <v>#REF!</v>
      </c>
      <c r="I88" s="87" t="e">
        <f>#REF!+I89</f>
        <v>#REF!</v>
      </c>
      <c r="J88" s="88" t="e">
        <f>#REF!+J89</f>
        <v>#REF!</v>
      </c>
      <c r="K88" s="88" t="e">
        <f>#REF!+K89</f>
        <v>#REF!</v>
      </c>
      <c r="L88" s="87" t="e">
        <f>#REF!+L89</f>
        <v>#REF!</v>
      </c>
      <c r="M88" s="88" t="e">
        <f>#REF!+M89</f>
        <v>#REF!</v>
      </c>
      <c r="N88" s="156">
        <f>N89</f>
        <v>8000</v>
      </c>
      <c r="O88" s="156">
        <f t="shared" ref="O88:O93" si="66">P88-N88</f>
        <v>2200</v>
      </c>
      <c r="P88" s="156">
        <f>P89</f>
        <v>10200</v>
      </c>
      <c r="Q88" s="88" t="e">
        <f>#REF!+Q89</f>
        <v>#REF!</v>
      </c>
      <c r="R88" s="88" t="e">
        <f>#REF!+R89</f>
        <v>#REF!</v>
      </c>
    </row>
    <row r="89" spans="1:18" s="185" customFormat="1" ht="30.6" hidden="1" customHeight="1" x14ac:dyDescent="0.25">
      <c r="A89" s="283">
        <v>424</v>
      </c>
      <c r="B89" s="284"/>
      <c r="C89" s="285"/>
      <c r="D89" s="44" t="s">
        <v>94</v>
      </c>
      <c r="E89" s="47">
        <f t="shared" ref="E89:M89" si="67">SUM(E90:E90)</f>
        <v>32466.48</v>
      </c>
      <c r="F89" s="47" t="e">
        <f t="shared" si="67"/>
        <v>#REF!</v>
      </c>
      <c r="G89" s="47">
        <f t="shared" si="67"/>
        <v>35000</v>
      </c>
      <c r="H89" s="47" t="e">
        <f t="shared" si="67"/>
        <v>#REF!</v>
      </c>
      <c r="I89" s="47">
        <f t="shared" si="67"/>
        <v>35035</v>
      </c>
      <c r="J89" s="56" t="e">
        <f t="shared" si="67"/>
        <v>#REF!</v>
      </c>
      <c r="K89" s="56" t="e">
        <f t="shared" si="67"/>
        <v>#REF!</v>
      </c>
      <c r="L89" s="47">
        <f t="shared" si="67"/>
        <v>4151.6000000000004</v>
      </c>
      <c r="M89" s="56">
        <f t="shared" si="67"/>
        <v>11000</v>
      </c>
      <c r="N89" s="56">
        <f>N90</f>
        <v>8000</v>
      </c>
      <c r="O89" s="179">
        <f t="shared" si="66"/>
        <v>2200</v>
      </c>
      <c r="P89" s="56">
        <f>P90</f>
        <v>10200</v>
      </c>
      <c r="Q89" s="56">
        <f>SUM(Q90:Q90)</f>
        <v>8000</v>
      </c>
      <c r="R89" s="56">
        <f>SUM(R90:R90)</f>
        <v>8000</v>
      </c>
    </row>
    <row r="90" spans="1:18" ht="15" hidden="1" customHeight="1" x14ac:dyDescent="0.25">
      <c r="A90" s="298">
        <v>4241</v>
      </c>
      <c r="B90" s="299"/>
      <c r="C90" s="300"/>
      <c r="D90" s="42" t="s">
        <v>95</v>
      </c>
      <c r="E90" s="48">
        <v>32466.48</v>
      </c>
      <c r="F90" s="46" t="e">
        <f>ROUND(E90/#REF!, 2)</f>
        <v>#REF!</v>
      </c>
      <c r="G90" s="48">
        <v>35000</v>
      </c>
      <c r="H90" s="46" t="e">
        <f>ROUND(G90/#REF!, 2)</f>
        <v>#REF!</v>
      </c>
      <c r="I90" s="48">
        <v>35035</v>
      </c>
      <c r="J90" s="10" t="e">
        <f>ROUND(I90/#REF!, 2)</f>
        <v>#REF!</v>
      </c>
      <c r="K90" s="11" t="e">
        <f t="shared" ref="K90" si="68">M90-J90</f>
        <v>#REF!</v>
      </c>
      <c r="L90" s="133">
        <f>31280.26/7.5345</f>
        <v>4151.6000000000004</v>
      </c>
      <c r="M90" s="12">
        <v>11000</v>
      </c>
      <c r="N90" s="159">
        <v>8000</v>
      </c>
      <c r="O90" s="180">
        <f t="shared" si="66"/>
        <v>2200</v>
      </c>
      <c r="P90" s="159">
        <v>10200</v>
      </c>
      <c r="Q90" s="12">
        <v>8000</v>
      </c>
      <c r="R90" s="12">
        <v>8000</v>
      </c>
    </row>
    <row r="91" spans="1:18" ht="15" customHeight="1" x14ac:dyDescent="0.25">
      <c r="A91" s="280">
        <v>45</v>
      </c>
      <c r="B91" s="281"/>
      <c r="C91" s="282"/>
      <c r="D91" s="106" t="s">
        <v>127</v>
      </c>
      <c r="E91" s="48"/>
      <c r="F91" s="46"/>
      <c r="G91" s="48"/>
      <c r="H91" s="46"/>
      <c r="I91" s="48"/>
      <c r="J91" s="108">
        <f>J92</f>
        <v>0</v>
      </c>
      <c r="K91" s="109">
        <f t="shared" ref="K91:R92" si="69">K92</f>
        <v>13000</v>
      </c>
      <c r="L91" s="134">
        <f t="shared" si="69"/>
        <v>0</v>
      </c>
      <c r="M91" s="110">
        <f t="shared" si="69"/>
        <v>13000</v>
      </c>
      <c r="N91" s="160">
        <f t="shared" si="69"/>
        <v>0</v>
      </c>
      <c r="O91" s="156">
        <f t="shared" si="66"/>
        <v>111600</v>
      </c>
      <c r="P91" s="160">
        <f>P92</f>
        <v>111600</v>
      </c>
      <c r="Q91" s="110">
        <f t="shared" si="69"/>
        <v>0</v>
      </c>
      <c r="R91" s="110">
        <f t="shared" si="69"/>
        <v>0</v>
      </c>
    </row>
    <row r="92" spans="1:18" s="185" customFormat="1" ht="15" hidden="1" customHeight="1" x14ac:dyDescent="0.25">
      <c r="A92" s="283">
        <v>451</v>
      </c>
      <c r="B92" s="284"/>
      <c r="C92" s="285"/>
      <c r="D92" s="44" t="s">
        <v>128</v>
      </c>
      <c r="E92" s="178"/>
      <c r="F92" s="181"/>
      <c r="G92" s="178"/>
      <c r="H92" s="181"/>
      <c r="I92" s="178"/>
      <c r="J92" s="107">
        <f>J93</f>
        <v>0</v>
      </c>
      <c r="K92" s="111">
        <f t="shared" si="69"/>
        <v>13000</v>
      </c>
      <c r="L92" s="135">
        <f t="shared" si="69"/>
        <v>0</v>
      </c>
      <c r="M92" s="112">
        <f t="shared" si="69"/>
        <v>13000</v>
      </c>
      <c r="N92" s="112">
        <f t="shared" si="69"/>
        <v>0</v>
      </c>
      <c r="O92" s="179">
        <f t="shared" si="66"/>
        <v>111600</v>
      </c>
      <c r="P92" s="112">
        <f>P93</f>
        <v>111600</v>
      </c>
      <c r="Q92" s="112">
        <f t="shared" si="69"/>
        <v>0</v>
      </c>
      <c r="R92" s="112">
        <f t="shared" si="69"/>
        <v>0</v>
      </c>
    </row>
    <row r="93" spans="1:18" ht="15" hidden="1" customHeight="1" x14ac:dyDescent="0.25">
      <c r="A93" s="286">
        <v>4511</v>
      </c>
      <c r="B93" s="287"/>
      <c r="C93" s="288"/>
      <c r="D93" s="43" t="s">
        <v>128</v>
      </c>
      <c r="E93" s="48"/>
      <c r="F93" s="46"/>
      <c r="G93" s="48"/>
      <c r="H93" s="46"/>
      <c r="I93" s="48"/>
      <c r="J93" s="10">
        <v>0</v>
      </c>
      <c r="K93" s="11">
        <f t="shared" ref="K93" si="70">M93-J93</f>
        <v>13000</v>
      </c>
      <c r="L93" s="133">
        <v>0</v>
      </c>
      <c r="M93" s="12">
        <v>13000</v>
      </c>
      <c r="N93" s="159">
        <v>0</v>
      </c>
      <c r="O93" s="180">
        <f t="shared" si="66"/>
        <v>111600</v>
      </c>
      <c r="P93" s="159">
        <v>111600</v>
      </c>
      <c r="Q93" s="12">
        <v>0</v>
      </c>
      <c r="R93" s="12">
        <v>0</v>
      </c>
    </row>
    <row r="94" spans="1:18" ht="39" hidden="1" x14ac:dyDescent="0.25">
      <c r="A94" s="320" t="s">
        <v>100</v>
      </c>
      <c r="B94" s="320"/>
      <c r="C94" s="320"/>
      <c r="D94" s="95" t="s">
        <v>101</v>
      </c>
      <c r="E94" s="96">
        <f t="shared" ref="E94:N94" si="71">E97</f>
        <v>0</v>
      </c>
      <c r="F94" s="96" t="e">
        <f t="shared" si="71"/>
        <v>#REF!</v>
      </c>
      <c r="G94" s="96">
        <f t="shared" si="71"/>
        <v>20000</v>
      </c>
      <c r="H94" s="96" t="e">
        <f t="shared" si="71"/>
        <v>#REF!</v>
      </c>
      <c r="I94" s="96">
        <f t="shared" si="71"/>
        <v>18835</v>
      </c>
      <c r="J94" s="97" t="e">
        <f t="shared" si="71"/>
        <v>#REF!</v>
      </c>
      <c r="K94" s="97" t="e">
        <f>M94-J94</f>
        <v>#REF!</v>
      </c>
      <c r="L94" s="96">
        <f t="shared" ref="L94" si="72">L97</f>
        <v>0</v>
      </c>
      <c r="M94" s="97">
        <f t="shared" si="71"/>
        <v>0</v>
      </c>
      <c r="N94" s="161">
        <f t="shared" si="71"/>
        <v>0</v>
      </c>
      <c r="O94" s="213">
        <f>P94-N94</f>
        <v>0</v>
      </c>
      <c r="P94" s="169"/>
      <c r="Q94" s="97">
        <f t="shared" ref="Q94" si="73">Q97</f>
        <v>0</v>
      </c>
      <c r="R94" s="97">
        <f t="shared" ref="R94" si="74">R97</f>
        <v>0</v>
      </c>
    </row>
    <row r="95" spans="1:18" ht="26.45" hidden="1" customHeight="1" x14ac:dyDescent="0.25">
      <c r="A95" s="317" t="s">
        <v>102</v>
      </c>
      <c r="B95" s="318"/>
      <c r="C95" s="319"/>
      <c r="D95" s="115" t="s">
        <v>105</v>
      </c>
      <c r="E95" s="81">
        <f>E98-E96</f>
        <v>0</v>
      </c>
      <c r="F95" s="81" t="e">
        <f t="shared" ref="F95:N95" si="75">F98-F96</f>
        <v>#REF!</v>
      </c>
      <c r="G95" s="81">
        <f t="shared" si="75"/>
        <v>20000</v>
      </c>
      <c r="H95" s="81" t="e">
        <f t="shared" si="75"/>
        <v>#REF!</v>
      </c>
      <c r="I95" s="81">
        <f t="shared" si="75"/>
        <v>18835</v>
      </c>
      <c r="J95" s="83" t="e">
        <f t="shared" si="75"/>
        <v>#REF!</v>
      </c>
      <c r="K95" s="83" t="e">
        <f>M95-J95</f>
        <v>#REF!</v>
      </c>
      <c r="L95" s="81">
        <f t="shared" ref="L95" si="76">L98-L96</f>
        <v>0</v>
      </c>
      <c r="M95" s="83">
        <f t="shared" si="75"/>
        <v>0</v>
      </c>
      <c r="N95" s="158">
        <f t="shared" si="75"/>
        <v>0</v>
      </c>
      <c r="O95" s="80">
        <f>P95-N95</f>
        <v>0</v>
      </c>
      <c r="P95" s="80">
        <v>0</v>
      </c>
      <c r="Q95" s="83">
        <f t="shared" ref="Q95" si="77">Q98-Q96</f>
        <v>0</v>
      </c>
      <c r="R95" s="83">
        <f t="shared" ref="R95" si="78">R98-R96</f>
        <v>0</v>
      </c>
    </row>
    <row r="96" spans="1:18" ht="14.45" hidden="1" customHeight="1" x14ac:dyDescent="0.25">
      <c r="A96" s="317" t="s">
        <v>103</v>
      </c>
      <c r="B96" s="318"/>
      <c r="C96" s="319"/>
      <c r="D96" s="115" t="s">
        <v>104</v>
      </c>
      <c r="E96" s="81">
        <v>0</v>
      </c>
      <c r="F96" s="82" t="e">
        <f>ROUND(E96/#REF!, 2)</f>
        <v>#REF!</v>
      </c>
      <c r="G96" s="81">
        <v>0</v>
      </c>
      <c r="H96" s="82">
        <v>0</v>
      </c>
      <c r="I96" s="85">
        <v>0</v>
      </c>
      <c r="J96" s="84" t="e">
        <f>ROUND(I96/#REF!, 2)</f>
        <v>#REF!</v>
      </c>
      <c r="K96" s="86" t="e">
        <f>M96-J96</f>
        <v>#REF!</v>
      </c>
      <c r="L96" s="85">
        <v>0</v>
      </c>
      <c r="M96" s="86">
        <v>0</v>
      </c>
      <c r="N96" s="162">
        <v>0</v>
      </c>
      <c r="O96" s="80">
        <f>P96-N96</f>
        <v>0</v>
      </c>
      <c r="P96" s="182">
        <v>0</v>
      </c>
      <c r="Q96" s="86">
        <v>0</v>
      </c>
      <c r="R96" s="86">
        <v>0</v>
      </c>
    </row>
    <row r="97" spans="1:18" hidden="1" x14ac:dyDescent="0.25">
      <c r="A97" s="321">
        <v>4</v>
      </c>
      <c r="B97" s="321"/>
      <c r="C97" s="321"/>
      <c r="D97" s="41" t="s">
        <v>20</v>
      </c>
      <c r="E97" s="45">
        <f t="shared" ref="E97:R97" si="79">E98</f>
        <v>0</v>
      </c>
      <c r="F97" s="45" t="e">
        <f t="shared" si="79"/>
        <v>#REF!</v>
      </c>
      <c r="G97" s="45">
        <f t="shared" si="79"/>
        <v>20000</v>
      </c>
      <c r="H97" s="45" t="e">
        <f t="shared" si="79"/>
        <v>#REF!</v>
      </c>
      <c r="I97" s="45">
        <f t="shared" si="79"/>
        <v>18835</v>
      </c>
      <c r="J97" s="35" t="e">
        <f t="shared" si="79"/>
        <v>#REF!</v>
      </c>
      <c r="K97" s="35" t="e">
        <f t="shared" si="79"/>
        <v>#REF!</v>
      </c>
      <c r="L97" s="45">
        <f t="shared" si="79"/>
        <v>0</v>
      </c>
      <c r="M97" s="35">
        <f t="shared" si="79"/>
        <v>0</v>
      </c>
      <c r="N97" s="163">
        <f t="shared" si="79"/>
        <v>0</v>
      </c>
      <c r="O97" s="149">
        <f>P97-N97</f>
        <v>0</v>
      </c>
      <c r="P97" s="183">
        <v>0</v>
      </c>
      <c r="Q97" s="35">
        <f t="shared" si="79"/>
        <v>0</v>
      </c>
      <c r="R97" s="35">
        <f t="shared" si="79"/>
        <v>0</v>
      </c>
    </row>
    <row r="98" spans="1:18" s="177" customFormat="1" ht="26.25" hidden="1" x14ac:dyDescent="0.25">
      <c r="A98" s="321">
        <v>42</v>
      </c>
      <c r="B98" s="321"/>
      <c r="C98" s="321"/>
      <c r="D98" s="41" t="s">
        <v>52</v>
      </c>
      <c r="E98" s="45">
        <f>E99+E101</f>
        <v>0</v>
      </c>
      <c r="F98" s="45" t="e">
        <f t="shared" ref="F98:N98" si="80">F99+F101</f>
        <v>#REF!</v>
      </c>
      <c r="G98" s="45">
        <f t="shared" si="80"/>
        <v>20000</v>
      </c>
      <c r="H98" s="45" t="e">
        <f t="shared" si="80"/>
        <v>#REF!</v>
      </c>
      <c r="I98" s="45">
        <f t="shared" si="80"/>
        <v>18835</v>
      </c>
      <c r="J98" s="35" t="e">
        <f t="shared" si="80"/>
        <v>#REF!</v>
      </c>
      <c r="K98" s="35" t="e">
        <f t="shared" si="80"/>
        <v>#REF!</v>
      </c>
      <c r="L98" s="45">
        <f t="shared" ref="L98" si="81">L99+L101</f>
        <v>0</v>
      </c>
      <c r="M98" s="35">
        <f t="shared" si="80"/>
        <v>0</v>
      </c>
      <c r="N98" s="163">
        <f t="shared" si="80"/>
        <v>0</v>
      </c>
      <c r="O98" s="149">
        <f t="shared" ref="O98:O106" si="82">P98-N98</f>
        <v>0</v>
      </c>
      <c r="P98" s="183">
        <v>0</v>
      </c>
      <c r="Q98" s="35">
        <f t="shared" ref="Q98" si="83">Q99+Q101</f>
        <v>0</v>
      </c>
      <c r="R98" s="35">
        <f t="shared" ref="R98" si="84">R99+R101</f>
        <v>0</v>
      </c>
    </row>
    <row r="99" spans="1:18" s="177" customFormat="1" ht="14.45" hidden="1" customHeight="1" x14ac:dyDescent="0.25">
      <c r="A99" s="309">
        <v>421</v>
      </c>
      <c r="B99" s="309"/>
      <c r="C99" s="309"/>
      <c r="D99" s="44" t="s">
        <v>96</v>
      </c>
      <c r="E99" s="50">
        <f>E100</f>
        <v>0</v>
      </c>
      <c r="F99" s="50" t="e">
        <f t="shared" ref="F99:R99" si="85">F100</f>
        <v>#REF!</v>
      </c>
      <c r="G99" s="50">
        <f t="shared" si="85"/>
        <v>0</v>
      </c>
      <c r="H99" s="50" t="e">
        <f t="shared" si="85"/>
        <v>#REF!</v>
      </c>
      <c r="I99" s="50">
        <f t="shared" si="85"/>
        <v>0</v>
      </c>
      <c r="J99" s="57" t="e">
        <f t="shared" si="85"/>
        <v>#REF!</v>
      </c>
      <c r="K99" s="57" t="e">
        <f t="shared" si="85"/>
        <v>#REF!</v>
      </c>
      <c r="L99" s="50">
        <f t="shared" si="85"/>
        <v>0</v>
      </c>
      <c r="M99" s="57">
        <f t="shared" si="85"/>
        <v>0</v>
      </c>
      <c r="N99" s="163">
        <f t="shared" si="85"/>
        <v>0</v>
      </c>
      <c r="O99" s="149">
        <f t="shared" si="82"/>
        <v>0</v>
      </c>
      <c r="P99" s="183">
        <v>0</v>
      </c>
      <c r="Q99" s="57">
        <f t="shared" si="85"/>
        <v>0</v>
      </c>
      <c r="R99" s="57">
        <f t="shared" si="85"/>
        <v>0</v>
      </c>
    </row>
    <row r="100" spans="1:18" ht="14.45" hidden="1" customHeight="1" x14ac:dyDescent="0.25">
      <c r="A100" s="313">
        <v>4212</v>
      </c>
      <c r="B100" s="313"/>
      <c r="C100" s="313"/>
      <c r="D100" s="43" t="s">
        <v>97</v>
      </c>
      <c r="E100" s="51">
        <v>0</v>
      </c>
      <c r="F100" s="46" t="e">
        <f>ROUND(E100/#REF!, 2)</f>
        <v>#REF!</v>
      </c>
      <c r="G100" s="51">
        <v>0</v>
      </c>
      <c r="H100" s="46" t="e">
        <f>ROUND(G100/#REF!, 2)</f>
        <v>#REF!</v>
      </c>
      <c r="I100" s="51">
        <v>0</v>
      </c>
      <c r="J100" s="10" t="e">
        <f>ROUND(I100/#REF!, 2)</f>
        <v>#REF!</v>
      </c>
      <c r="K100" s="76" t="e">
        <f>M100-J100</f>
        <v>#REF!</v>
      </c>
      <c r="L100" s="75">
        <v>0</v>
      </c>
      <c r="M100" s="76">
        <v>0</v>
      </c>
      <c r="N100" s="76">
        <v>0</v>
      </c>
      <c r="O100" s="149">
        <f t="shared" si="82"/>
        <v>0</v>
      </c>
      <c r="P100" s="150">
        <v>0</v>
      </c>
      <c r="Q100" s="76">
        <v>0</v>
      </c>
      <c r="R100" s="76">
        <v>0</v>
      </c>
    </row>
    <row r="101" spans="1:18" s="177" customFormat="1" ht="14.45" hidden="1" customHeight="1" x14ac:dyDescent="0.25">
      <c r="A101" s="309">
        <v>422</v>
      </c>
      <c r="B101" s="309"/>
      <c r="C101" s="309"/>
      <c r="D101" s="44" t="s">
        <v>89</v>
      </c>
      <c r="E101" s="50">
        <f t="shared" ref="E101:M101" si="86">SUM(E102:E106)</f>
        <v>0</v>
      </c>
      <c r="F101" s="50" t="e">
        <f t="shared" si="86"/>
        <v>#REF!</v>
      </c>
      <c r="G101" s="50">
        <f t="shared" si="86"/>
        <v>20000</v>
      </c>
      <c r="H101" s="50" t="e">
        <f t="shared" si="86"/>
        <v>#REF!</v>
      </c>
      <c r="I101" s="50">
        <f t="shared" si="86"/>
        <v>18835</v>
      </c>
      <c r="J101" s="57" t="e">
        <f t="shared" si="86"/>
        <v>#REF!</v>
      </c>
      <c r="K101" s="57" t="e">
        <f t="shared" si="86"/>
        <v>#REF!</v>
      </c>
      <c r="L101" s="50">
        <f t="shared" ref="L101" si="87">SUM(L102:L106)</f>
        <v>0</v>
      </c>
      <c r="M101" s="57">
        <f t="shared" si="86"/>
        <v>0</v>
      </c>
      <c r="N101" s="163">
        <f t="shared" ref="N101" si="88">SUM(N102:N106)</f>
        <v>0</v>
      </c>
      <c r="O101" s="149">
        <f t="shared" si="82"/>
        <v>0</v>
      </c>
      <c r="P101" s="183">
        <f t="shared" ref="P101" si="89">SUM(P102:P106)</f>
        <v>0</v>
      </c>
      <c r="Q101" s="57">
        <f t="shared" ref="Q101" si="90">SUM(Q102:Q106)</f>
        <v>0</v>
      </c>
      <c r="R101" s="57">
        <f t="shared" ref="R101" si="91">SUM(R102:R106)</f>
        <v>0</v>
      </c>
    </row>
    <row r="102" spans="1:18" ht="14.45" hidden="1" customHeight="1" x14ac:dyDescent="0.25">
      <c r="A102" s="308">
        <v>42211</v>
      </c>
      <c r="B102" s="308"/>
      <c r="C102" s="308"/>
      <c r="D102" s="42" t="s">
        <v>90</v>
      </c>
      <c r="E102" s="51">
        <v>0</v>
      </c>
      <c r="F102" s="46" t="e">
        <f>ROUND(E102/#REF!, 2)</f>
        <v>#REF!</v>
      </c>
      <c r="G102" s="51">
        <v>0</v>
      </c>
      <c r="H102" s="46" t="e">
        <f>ROUND(G102/#REF!, 2)</f>
        <v>#REF!</v>
      </c>
      <c r="I102" s="51">
        <v>0</v>
      </c>
      <c r="J102" s="10" t="e">
        <f>ROUND(I102/#REF!, 2)</f>
        <v>#REF!</v>
      </c>
      <c r="K102" s="76" t="e">
        <f t="shared" ref="K102:K106" si="92">M102-J102</f>
        <v>#REF!</v>
      </c>
      <c r="L102" s="75">
        <v>0</v>
      </c>
      <c r="M102" s="76">
        <v>0</v>
      </c>
      <c r="N102" s="76">
        <v>0</v>
      </c>
      <c r="O102" s="149">
        <f t="shared" si="82"/>
        <v>0</v>
      </c>
      <c r="P102" s="150">
        <v>0</v>
      </c>
      <c r="Q102" s="76">
        <v>0</v>
      </c>
      <c r="R102" s="76">
        <v>0</v>
      </c>
    </row>
    <row r="103" spans="1:18" ht="14.45" hidden="1" customHeight="1" x14ac:dyDescent="0.25">
      <c r="A103" s="308">
        <v>42212</v>
      </c>
      <c r="B103" s="308"/>
      <c r="C103" s="308"/>
      <c r="D103" s="42" t="s">
        <v>138</v>
      </c>
      <c r="E103" s="51">
        <v>0</v>
      </c>
      <c r="F103" s="46" t="e">
        <f>ROUND(E103/#REF!, 2)</f>
        <v>#REF!</v>
      </c>
      <c r="G103" s="51">
        <v>20000</v>
      </c>
      <c r="H103" s="46" t="e">
        <f>ROUND(G103/#REF!, 2)</f>
        <v>#REF!</v>
      </c>
      <c r="I103" s="51">
        <v>18835</v>
      </c>
      <c r="J103" s="10" t="e">
        <f>ROUND(I103/#REF!, 2)</f>
        <v>#REF!</v>
      </c>
      <c r="K103" s="76" t="e">
        <f t="shared" si="92"/>
        <v>#REF!</v>
      </c>
      <c r="L103" s="75">
        <v>0</v>
      </c>
      <c r="M103" s="76">
        <v>0</v>
      </c>
      <c r="N103" s="76">
        <v>0</v>
      </c>
      <c r="O103" s="149">
        <f t="shared" si="82"/>
        <v>0</v>
      </c>
      <c r="P103" s="150">
        <v>0</v>
      </c>
      <c r="Q103" s="76">
        <v>0</v>
      </c>
      <c r="R103" s="76">
        <v>0</v>
      </c>
    </row>
    <row r="104" spans="1:18" ht="14.45" hidden="1" customHeight="1" x14ac:dyDescent="0.25">
      <c r="A104" s="308">
        <v>42219</v>
      </c>
      <c r="B104" s="308"/>
      <c r="C104" s="308"/>
      <c r="D104" s="42" t="s">
        <v>91</v>
      </c>
      <c r="E104" s="51">
        <v>0</v>
      </c>
      <c r="F104" s="46" t="e">
        <f>ROUND(E104/#REF!, 2)</f>
        <v>#REF!</v>
      </c>
      <c r="G104" s="51">
        <v>0</v>
      </c>
      <c r="H104" s="46" t="e">
        <f>ROUND(G104/#REF!, 2)</f>
        <v>#REF!</v>
      </c>
      <c r="I104" s="51">
        <v>0</v>
      </c>
      <c r="J104" s="10" t="e">
        <f>ROUND(I104/#REF!, 2)</f>
        <v>#REF!</v>
      </c>
      <c r="K104" s="76" t="e">
        <f t="shared" si="92"/>
        <v>#REF!</v>
      </c>
      <c r="L104" s="75">
        <v>0</v>
      </c>
      <c r="M104" s="76">
        <v>0</v>
      </c>
      <c r="N104" s="76">
        <v>0</v>
      </c>
      <c r="O104" s="149">
        <f t="shared" si="82"/>
        <v>0</v>
      </c>
      <c r="P104" s="150">
        <v>0</v>
      </c>
      <c r="Q104" s="76">
        <v>0</v>
      </c>
      <c r="R104" s="76">
        <v>0</v>
      </c>
    </row>
    <row r="105" spans="1:18" ht="14.45" hidden="1" customHeight="1" x14ac:dyDescent="0.25">
      <c r="A105" s="308">
        <v>42221</v>
      </c>
      <c r="B105" s="308"/>
      <c r="C105" s="308"/>
      <c r="D105" s="42" t="s">
        <v>92</v>
      </c>
      <c r="E105" s="51">
        <v>0</v>
      </c>
      <c r="F105" s="46" t="e">
        <f>ROUND(E105/#REF!, 2)</f>
        <v>#REF!</v>
      </c>
      <c r="G105" s="51">
        <v>0</v>
      </c>
      <c r="H105" s="46" t="e">
        <f>ROUND(G105/#REF!, 2)</f>
        <v>#REF!</v>
      </c>
      <c r="I105" s="51">
        <v>0</v>
      </c>
      <c r="J105" s="10" t="e">
        <f>ROUND(I105/#REF!, 2)</f>
        <v>#REF!</v>
      </c>
      <c r="K105" s="76" t="e">
        <f t="shared" si="92"/>
        <v>#REF!</v>
      </c>
      <c r="L105" s="75">
        <v>0</v>
      </c>
      <c r="M105" s="76">
        <v>0</v>
      </c>
      <c r="N105" s="76">
        <v>0</v>
      </c>
      <c r="O105" s="149">
        <f t="shared" si="82"/>
        <v>0</v>
      </c>
      <c r="P105" s="150">
        <v>0</v>
      </c>
      <c r="Q105" s="76">
        <v>0</v>
      </c>
      <c r="R105" s="76">
        <v>0</v>
      </c>
    </row>
    <row r="106" spans="1:18" ht="14.45" hidden="1" customHeight="1" x14ac:dyDescent="0.25">
      <c r="A106" s="308">
        <v>42273</v>
      </c>
      <c r="B106" s="308"/>
      <c r="C106" s="308"/>
      <c r="D106" s="42" t="s">
        <v>93</v>
      </c>
      <c r="E106" s="51">
        <v>0</v>
      </c>
      <c r="F106" s="46" t="e">
        <f>ROUND(E106/#REF!, 2)</f>
        <v>#REF!</v>
      </c>
      <c r="G106" s="51">
        <v>0</v>
      </c>
      <c r="H106" s="46" t="e">
        <f>ROUND(G106/#REF!, 2)</f>
        <v>#REF!</v>
      </c>
      <c r="I106" s="51">
        <v>0</v>
      </c>
      <c r="J106" s="10" t="e">
        <f>ROUND(I106/#REF!, 2)</f>
        <v>#REF!</v>
      </c>
      <c r="K106" s="76" t="e">
        <f t="shared" si="92"/>
        <v>#REF!</v>
      </c>
      <c r="L106" s="75">
        <v>0</v>
      </c>
      <c r="M106" s="76">
        <v>0</v>
      </c>
      <c r="N106" s="76">
        <v>0</v>
      </c>
      <c r="O106" s="149">
        <f t="shared" si="82"/>
        <v>0</v>
      </c>
      <c r="P106" s="150">
        <v>0</v>
      </c>
      <c r="Q106" s="76">
        <v>0</v>
      </c>
      <c r="R106" s="76">
        <v>0</v>
      </c>
    </row>
    <row r="107" spans="1:18" ht="14.45" hidden="1" customHeight="1" x14ac:dyDescent="0.25">
      <c r="F107" s="52"/>
      <c r="L107" s="129"/>
      <c r="N107" s="152"/>
      <c r="O107" s="152"/>
      <c r="P107" s="152"/>
      <c r="Q107" s="123"/>
      <c r="R107" s="123"/>
    </row>
    <row r="108" spans="1:18" ht="15.6" hidden="1" customHeight="1" x14ac:dyDescent="0.25">
      <c r="A108" s="124"/>
      <c r="B108" s="124"/>
      <c r="C108" s="124"/>
      <c r="D108" s="53" t="s">
        <v>111</v>
      </c>
      <c r="E108" s="125" t="e">
        <f t="shared" ref="E108:M108" si="93">E10+E11+E12</f>
        <v>#REF!</v>
      </c>
      <c r="F108" s="125" t="e">
        <f t="shared" si="93"/>
        <v>#REF!</v>
      </c>
      <c r="G108" s="125" t="e">
        <f t="shared" si="93"/>
        <v>#REF!</v>
      </c>
      <c r="H108" s="125" t="e">
        <f t="shared" si="93"/>
        <v>#REF!</v>
      </c>
      <c r="I108" s="125" t="e">
        <f t="shared" si="93"/>
        <v>#REF!</v>
      </c>
      <c r="J108" s="126" t="e">
        <f t="shared" si="93"/>
        <v>#REF!</v>
      </c>
      <c r="K108" s="126" t="e">
        <f t="shared" si="93"/>
        <v>#REF!</v>
      </c>
      <c r="L108" s="125" t="e">
        <f t="shared" si="93"/>
        <v>#REF!</v>
      </c>
      <c r="M108" s="126" t="e">
        <f t="shared" si="93"/>
        <v>#REF!</v>
      </c>
      <c r="N108" s="126">
        <f>N10+N11+N12</f>
        <v>54150</v>
      </c>
      <c r="O108" s="126">
        <f t="shared" ref="O108" si="94">O10+O11+O12</f>
        <v>157375</v>
      </c>
      <c r="P108" s="126">
        <f>P10+P11+P12</f>
        <v>211525</v>
      </c>
      <c r="Q108" s="126" t="e">
        <f>Q10+Q11+Q12</f>
        <v>#REF!</v>
      </c>
      <c r="R108" s="126" t="e">
        <f>R10+R11+R12</f>
        <v>#REF!</v>
      </c>
    </row>
    <row r="109" spans="1:18" ht="15.6" hidden="1" customHeight="1" x14ac:dyDescent="0.25">
      <c r="A109" s="124"/>
      <c r="B109" s="124"/>
      <c r="C109" s="124"/>
      <c r="D109" s="53" t="s">
        <v>110</v>
      </c>
      <c r="E109" s="125" t="e">
        <f t="shared" ref="E109:M109" si="95">E15+E79+E97</f>
        <v>#REF!</v>
      </c>
      <c r="F109" s="125" t="e">
        <f t="shared" si="95"/>
        <v>#REF!</v>
      </c>
      <c r="G109" s="125" t="e">
        <f t="shared" si="95"/>
        <v>#REF!</v>
      </c>
      <c r="H109" s="125" t="e">
        <f t="shared" si="95"/>
        <v>#REF!</v>
      </c>
      <c r="I109" s="125" t="e">
        <f t="shared" si="95"/>
        <v>#REF!</v>
      </c>
      <c r="J109" s="126" t="e">
        <f t="shared" si="95"/>
        <v>#REF!</v>
      </c>
      <c r="K109" s="126" t="e">
        <f t="shared" si="95"/>
        <v>#REF!</v>
      </c>
      <c r="L109" s="125" t="e">
        <f t="shared" si="95"/>
        <v>#REF!</v>
      </c>
      <c r="M109" s="126" t="e">
        <f t="shared" si="95"/>
        <v>#REF!</v>
      </c>
      <c r="N109" s="126">
        <f>N15+N58+N66+N79+N87</f>
        <v>54150</v>
      </c>
      <c r="O109" s="221">
        <f>P109-N109</f>
        <v>157375</v>
      </c>
      <c r="P109" s="222">
        <f>P15+P58+P66+P79+P87</f>
        <v>211525</v>
      </c>
      <c r="Q109" s="126" t="e">
        <f>Q15+Q79+Q97</f>
        <v>#REF!</v>
      </c>
      <c r="R109" s="126" t="e">
        <f>R15+R79+R97</f>
        <v>#REF!</v>
      </c>
    </row>
    <row r="110" spans="1:18" ht="15.6" hidden="1" customHeight="1" x14ac:dyDescent="0.25">
      <c r="A110" s="124"/>
      <c r="B110" s="124"/>
      <c r="C110" s="124"/>
      <c r="D110" s="53" t="s">
        <v>112</v>
      </c>
      <c r="E110" s="125" t="e">
        <f>E108-E109</f>
        <v>#REF!</v>
      </c>
      <c r="F110" s="125" t="e">
        <f t="shared" ref="F110:M110" si="96">F108-F109</f>
        <v>#REF!</v>
      </c>
      <c r="G110" s="125" t="e">
        <f t="shared" si="96"/>
        <v>#REF!</v>
      </c>
      <c r="H110" s="125" t="e">
        <f t="shared" si="96"/>
        <v>#REF!</v>
      </c>
      <c r="I110" s="125" t="e">
        <f t="shared" si="96"/>
        <v>#REF!</v>
      </c>
      <c r="J110" s="125" t="e">
        <f t="shared" si="96"/>
        <v>#REF!</v>
      </c>
      <c r="K110" s="125" t="e">
        <f t="shared" si="96"/>
        <v>#REF!</v>
      </c>
      <c r="L110" s="125" t="e">
        <f t="shared" ref="L110" si="97">L108-L109</f>
        <v>#REF!</v>
      </c>
      <c r="M110" s="125" t="e">
        <f t="shared" si="96"/>
        <v>#REF!</v>
      </c>
      <c r="N110" s="125">
        <f t="shared" ref="N110:Q110" si="98">N108-N109</f>
        <v>0</v>
      </c>
      <c r="O110" s="221">
        <f>P110-N110</f>
        <v>0</v>
      </c>
      <c r="P110" s="223">
        <f t="shared" ref="P110" si="99">P108-P109</f>
        <v>0</v>
      </c>
      <c r="Q110" s="125" t="e">
        <f t="shared" si="98"/>
        <v>#REF!</v>
      </c>
      <c r="R110" s="125" t="e">
        <f t="shared" ref="R110" si="100">R108-R109</f>
        <v>#REF!</v>
      </c>
    </row>
    <row r="111" spans="1:18" ht="15.6" hidden="1" customHeight="1" x14ac:dyDescent="0.25">
      <c r="E111" s="127"/>
      <c r="F111" s="127"/>
      <c r="G111" s="127"/>
      <c r="H111" s="127"/>
      <c r="I111" s="127"/>
      <c r="J111" s="128"/>
      <c r="K111" s="128"/>
      <c r="L111" s="128"/>
      <c r="M111" s="128"/>
    </row>
    <row r="112" spans="1:18" ht="14.45" customHeight="1" x14ac:dyDescent="0.25">
      <c r="H112" s="129"/>
      <c r="L112" s="129"/>
    </row>
    <row r="113" spans="4:17" ht="14.45" customHeight="1" x14ac:dyDescent="0.25">
      <c r="L113" s="129"/>
    </row>
    <row r="114" spans="4:17" x14ac:dyDescent="0.25">
      <c r="L114" s="129"/>
      <c r="N114" s="326"/>
      <c r="O114" s="326"/>
    </row>
    <row r="115" spans="4:17" x14ac:dyDescent="0.25">
      <c r="D115" s="103" t="s">
        <v>175</v>
      </c>
      <c r="J115" s="123" t="s">
        <v>123</v>
      </c>
      <c r="N115" s="327" t="s">
        <v>123</v>
      </c>
      <c r="O115" s="327"/>
      <c r="P115" s="153"/>
      <c r="Q115" s="55"/>
    </row>
    <row r="116" spans="4:17" x14ac:dyDescent="0.25">
      <c r="N116" s="327"/>
      <c r="O116" s="327"/>
      <c r="P116" s="153"/>
      <c r="Q116" s="55"/>
    </row>
    <row r="117" spans="4:17" x14ac:dyDescent="0.25">
      <c r="J117" s="123" t="s">
        <v>124</v>
      </c>
      <c r="N117" s="327" t="s">
        <v>124</v>
      </c>
      <c r="O117" s="327"/>
      <c r="P117" s="153"/>
      <c r="Q117" s="55"/>
    </row>
    <row r="118" spans="4:17" x14ac:dyDescent="0.25">
      <c r="N118" s="326"/>
      <c r="O118" s="326"/>
    </row>
  </sheetData>
  <sheetProtection algorithmName="SHA-512" hashValue="uhdh8QN2x8dqWQhaGylZKdQHyxe3p1jnMNhz3KO4Jiwn4If+TjYkVc9IvHP0ovBJpXCKIg4/vVpc1v62hdvaTg==" saltValue="p39RhRzrQMSFtFLFwKrfAg==" spinCount="100000" sheet="1" objects="1" scenarios="1"/>
  <mergeCells count="104">
    <mergeCell ref="A89:C89"/>
    <mergeCell ref="A90:C90"/>
    <mergeCell ref="A91:C91"/>
    <mergeCell ref="A92:C92"/>
    <mergeCell ref="A93:C93"/>
    <mergeCell ref="A75:C75"/>
    <mergeCell ref="A76:C76"/>
    <mergeCell ref="A86:C86"/>
    <mergeCell ref="A87:C87"/>
    <mergeCell ref="A88:C88"/>
    <mergeCell ref="A51:C51"/>
    <mergeCell ref="A49:C49"/>
    <mergeCell ref="A50:C50"/>
    <mergeCell ref="A103:C103"/>
    <mergeCell ref="A55:C55"/>
    <mergeCell ref="A56:C56"/>
    <mergeCell ref="A58:C58"/>
    <mergeCell ref="A59:C59"/>
    <mergeCell ref="A60:C60"/>
    <mergeCell ref="A65:C65"/>
    <mergeCell ref="A66:C66"/>
    <mergeCell ref="A57:C57"/>
    <mergeCell ref="A61:C61"/>
    <mergeCell ref="A62:C62"/>
    <mergeCell ref="A70:C70"/>
    <mergeCell ref="A71:C71"/>
    <mergeCell ref="A72:C72"/>
    <mergeCell ref="A73:C73"/>
    <mergeCell ref="A74:C74"/>
    <mergeCell ref="A67:C67"/>
    <mergeCell ref="A68:C68"/>
    <mergeCell ref="A69:C69"/>
    <mergeCell ref="A63:C63"/>
    <mergeCell ref="A64:C64"/>
    <mergeCell ref="A106:C106"/>
    <mergeCell ref="A105:C105"/>
    <mergeCell ref="A104:C104"/>
    <mergeCell ref="A95:C95"/>
    <mergeCell ref="A96:C96"/>
    <mergeCell ref="A94:C94"/>
    <mergeCell ref="A100:C100"/>
    <mergeCell ref="A98:C98"/>
    <mergeCell ref="A97:C97"/>
    <mergeCell ref="A40:C40"/>
    <mergeCell ref="A41:C41"/>
    <mergeCell ref="A42:C42"/>
    <mergeCell ref="A43:C43"/>
    <mergeCell ref="A44:C44"/>
    <mergeCell ref="A37:C37"/>
    <mergeCell ref="A38:C38"/>
    <mergeCell ref="A39:C39"/>
    <mergeCell ref="A102:C102"/>
    <mergeCell ref="A77:C77"/>
    <mergeCell ref="A78:C78"/>
    <mergeCell ref="A99:C99"/>
    <mergeCell ref="A101:C101"/>
    <mergeCell ref="A80:C80"/>
    <mergeCell ref="A79:C79"/>
    <mergeCell ref="A81:C81"/>
    <mergeCell ref="A82:C82"/>
    <mergeCell ref="A45:C45"/>
    <mergeCell ref="A53:C53"/>
    <mergeCell ref="A54:C54"/>
    <mergeCell ref="A48:C48"/>
    <mergeCell ref="A47:C47"/>
    <mergeCell ref="A46:C46"/>
    <mergeCell ref="A52:C52"/>
    <mergeCell ref="A24:C24"/>
    <mergeCell ref="A16:C16"/>
    <mergeCell ref="A28:C28"/>
    <mergeCell ref="A23:C23"/>
    <mergeCell ref="A22:C22"/>
    <mergeCell ref="A25:C25"/>
    <mergeCell ref="A26:C26"/>
    <mergeCell ref="A27:C27"/>
    <mergeCell ref="A17:C17"/>
    <mergeCell ref="A18:C18"/>
    <mergeCell ref="A19:C19"/>
    <mergeCell ref="A20:C20"/>
    <mergeCell ref="A21:C21"/>
    <mergeCell ref="A5:C5"/>
    <mergeCell ref="A10:C10"/>
    <mergeCell ref="A11:C11"/>
    <mergeCell ref="A1:R1"/>
    <mergeCell ref="A3:R3"/>
    <mergeCell ref="A83:C83"/>
    <mergeCell ref="A84:C84"/>
    <mergeCell ref="A85:C85"/>
    <mergeCell ref="A9:C9"/>
    <mergeCell ref="A13:C13"/>
    <mergeCell ref="A12:C12"/>
    <mergeCell ref="A32:C32"/>
    <mergeCell ref="A33:C33"/>
    <mergeCell ref="A34:C34"/>
    <mergeCell ref="A35:C35"/>
    <mergeCell ref="A36:C36"/>
    <mergeCell ref="A29:C29"/>
    <mergeCell ref="A30:C30"/>
    <mergeCell ref="A31:C31"/>
    <mergeCell ref="A6:C6"/>
    <mergeCell ref="A7:C7"/>
    <mergeCell ref="A8:C8"/>
    <mergeCell ref="A14:C14"/>
    <mergeCell ref="A15:C15"/>
  </mergeCells>
  <pageMargins left="0.7" right="0.7" top="0.75" bottom="0.75" header="0.3" footer="0.3"/>
  <pageSetup paperSize="9"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5</vt:i4>
      </vt:variant>
    </vt:vector>
  </HeadingPairs>
  <TitlesOfParts>
    <vt:vector size="5" baseType="lpstr">
      <vt:lpstr>SAŽETAK</vt:lpstr>
      <vt:lpstr> Račun prihoda i rashoda</vt:lpstr>
      <vt:lpstr>Rashodi prema funkcijskoj kl</vt:lpstr>
      <vt:lpstr>Račun financiranja</vt:lpstr>
      <vt:lpstr>POSEBNI DIO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Marija</cp:lastModifiedBy>
  <cp:lastPrinted>2025-11-26T08:45:38Z</cp:lastPrinted>
  <dcterms:created xsi:type="dcterms:W3CDTF">2022-08-12T12:51:27Z</dcterms:created>
  <dcterms:modified xsi:type="dcterms:W3CDTF">2025-12-30T13:17:04Z</dcterms:modified>
</cp:coreProperties>
</file>